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nomura_master\papa\ヨット\KYC\Race Committee\Race Results\2018\2018_12_Dec\"/>
    </mc:Choice>
  </mc:AlternateContent>
  <bookViews>
    <workbookView xWindow="-15" yWindow="-15" windowWidth="10245" windowHeight="8040" tabRatio="632" activeTab="6"/>
  </bookViews>
  <sheets>
    <sheet name="7月" sheetId="13" r:id="rId1"/>
    <sheet name="8月" sheetId="23" r:id="rId2"/>
    <sheet name="熱海ランデブーレース" sheetId="28" r:id="rId3"/>
    <sheet name="9月" sheetId="24" r:id="rId4"/>
    <sheet name="10月" sheetId="25" r:id="rId5"/>
    <sheet name="11月" sheetId="26" r:id="rId6"/>
    <sheet name="12月" sheetId="27" r:id="rId7"/>
    <sheet name="得点計" sheetId="19" r:id="rId8"/>
    <sheet name="ｺﾐｯﾃｨｰ" sheetId="20" r:id="rId9"/>
    <sheet name="参照ﾃﾞｰﾀ" sheetId="2" r:id="rId10"/>
  </sheets>
  <definedNames>
    <definedName name="_xlnm._FilterDatabase" localSheetId="4" hidden="1">'10月'!$D$7:$K$23</definedName>
    <definedName name="_xlnm._FilterDatabase" localSheetId="5" hidden="1">'11月'!$C$7:$K$13</definedName>
    <definedName name="_xlnm._FilterDatabase" localSheetId="6" hidden="1">'12月'!$C$7:$K$20</definedName>
    <definedName name="_xlnm._FilterDatabase" localSheetId="1" hidden="1">'8月'!$C$7:$K$17</definedName>
    <definedName name="_xlnm._FilterDatabase" localSheetId="3" hidden="1">'9月'!#REF!</definedName>
    <definedName name="_xlnm._FilterDatabase" localSheetId="7"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4">'10月'!$B$2:$Q$41</definedName>
    <definedName name="_xlnm.Print_Area" localSheetId="5">'11月'!$B$2:$Q$41</definedName>
    <definedName name="_xlnm.Print_Area" localSheetId="6">'12月'!$B$2:$Q$41</definedName>
    <definedName name="_xlnm.Print_Area" localSheetId="0">'7月'!$B$2:$Q$41</definedName>
    <definedName name="_xlnm.Print_Area" localSheetId="1">'8月'!$B$2:$Q$41</definedName>
    <definedName name="_xlnm.Print_Area" localSheetId="3">'9月'!$B$2:$Q$41</definedName>
    <definedName name="_xlnm.Print_Area" localSheetId="8">ｺﾐｯﾃｨｰ!$B$2:$M$33</definedName>
    <definedName name="_xlnm.Print_Area" localSheetId="7">得点計!$B$1:$W$48</definedName>
    <definedName name="_xlnm.Print_Area" localSheetId="2">熱海ランデブーレース!$B$2:$Q$41</definedName>
    <definedName name="ＴＡ">参照ﾃﾞｰﾀ!$AC$3:$AC$7</definedName>
    <definedName name="コース">参照ﾃﾞｰﾀ!$L$3:$L$15</definedName>
    <definedName name="コース・距離">参照ﾃﾞｰﾀ!$L$3:$N$15</definedName>
    <definedName name="フリートレース_各艇データ__2__List">#REF!</definedName>
    <definedName name="フリートレース_月別フォーマット_List">#REF!</definedName>
    <definedName name="レース番号">参照ﾃﾞｰﾀ!$W$3:$W$18</definedName>
    <definedName name="レース名">参照ﾃﾞｰﾀ!$Y$3:$Y$6</definedName>
    <definedName name="開催日">参照ﾃﾞｰﾀ!$T$3:$T$18</definedName>
    <definedName name="各艇データ">参照ﾃﾞｰﾀ!$C$4:$J$62</definedName>
    <definedName name="月">参照ﾃﾞｰﾀ!$R$3:$R$16</definedName>
    <definedName name="暫定">参照ﾃﾞｰﾀ!$AA$3:$AA$5</definedName>
    <definedName name="時刻">参照ﾃﾞｰﾀ!$AE$3:$AE$12</definedName>
    <definedName name="得点">参照ﾃﾞｰﾀ!$AG$3:$AG$7</definedName>
    <definedName name="年">参照ﾃﾞｰﾀ!$P$3:$P$12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4" i="27" l="1"/>
  <c r="K31" i="19"/>
  <c r="K13" i="13"/>
  <c r="H7" i="26" l="1"/>
  <c r="K20" i="19" l="1"/>
  <c r="D23" i="26"/>
  <c r="D16" i="26"/>
  <c r="D19" i="26"/>
  <c r="H18" i="26"/>
  <c r="H16" i="26"/>
  <c r="H19" i="26"/>
  <c r="N19" i="26" l="1"/>
  <c r="D29" i="19"/>
  <c r="K26" i="19"/>
  <c r="K29" i="19"/>
  <c r="D19" i="25"/>
  <c r="D20" i="25"/>
  <c r="D21" i="25"/>
  <c r="D22" i="25"/>
  <c r="H18" i="25"/>
  <c r="H19" i="25"/>
  <c r="H20" i="25"/>
  <c r="H21" i="25"/>
  <c r="H22" i="25"/>
  <c r="K15" i="19" l="1"/>
  <c r="K25" i="19"/>
  <c r="K24" i="19"/>
  <c r="K30" i="19"/>
  <c r="K28" i="19" l="1"/>
  <c r="K23" i="19" l="1"/>
  <c r="H10" i="13" l="1"/>
  <c r="D10" i="13"/>
  <c r="O6" i="26" l="1"/>
  <c r="H21" i="26"/>
  <c r="D21" i="26"/>
  <c r="D18" i="26"/>
  <c r="H15" i="26"/>
  <c r="D15" i="26"/>
  <c r="H12" i="26"/>
  <c r="D12" i="26"/>
  <c r="H9" i="26"/>
  <c r="D9" i="26"/>
  <c r="H20" i="26"/>
  <c r="N20" i="26" s="1"/>
  <c r="D20" i="26"/>
  <c r="H13" i="26"/>
  <c r="D13" i="26"/>
  <c r="H8" i="26"/>
  <c r="D8" i="26"/>
  <c r="H10" i="26"/>
  <c r="D10" i="26"/>
  <c r="H14" i="26"/>
  <c r="D14" i="26"/>
  <c r="H17" i="26"/>
  <c r="N18" i="26" s="1"/>
  <c r="D17" i="26"/>
  <c r="D7" i="26"/>
  <c r="H11" i="26"/>
  <c r="D11" i="26"/>
  <c r="O6" i="25"/>
  <c r="F39" i="23"/>
  <c r="F35" i="27"/>
  <c r="F39" i="26"/>
  <c r="F35" i="26"/>
  <c r="F39" i="25"/>
  <c r="F35" i="25"/>
  <c r="N3" i="25"/>
  <c r="N3" i="24"/>
  <c r="N3" i="23"/>
  <c r="O6" i="23"/>
  <c r="F39" i="24"/>
  <c r="F35" i="24"/>
  <c r="F35" i="23"/>
  <c r="F39" i="13"/>
  <c r="F35" i="13"/>
  <c r="N16" i="26" l="1"/>
  <c r="N20" i="25"/>
  <c r="N19" i="25"/>
  <c r="N22" i="25"/>
  <c r="N21" i="25"/>
  <c r="N18" i="25"/>
  <c r="N10" i="26"/>
  <c r="N9" i="26"/>
  <c r="N12" i="26"/>
  <c r="N17" i="26"/>
  <c r="N14" i="26"/>
  <c r="N13" i="26"/>
  <c r="N11" i="26"/>
  <c r="N15" i="26"/>
  <c r="N7" i="26"/>
  <c r="N8" i="26"/>
  <c r="H22" i="27" l="1"/>
  <c r="H21" i="27"/>
  <c r="H7" i="24" l="1"/>
  <c r="H8" i="24"/>
  <c r="D24" i="23" l="1"/>
  <c r="H8" i="23"/>
  <c r="D8" i="23"/>
  <c r="D13" i="23"/>
  <c r="U14" i="13"/>
  <c r="T22" i="13"/>
  <c r="S23" i="13"/>
  <c r="U12" i="13"/>
  <c r="U18" i="13"/>
  <c r="U15" i="13"/>
  <c r="U8" i="13"/>
  <c r="T16" i="13"/>
  <c r="S15" i="20"/>
  <c r="Q7" i="20"/>
  <c r="R7" i="20"/>
  <c r="Q8" i="20"/>
  <c r="R8" i="20"/>
  <c r="Q9" i="20"/>
  <c r="R9" i="20"/>
  <c r="Q10" i="20"/>
  <c r="R10" i="20"/>
  <c r="Q11" i="20"/>
  <c r="R11" i="20"/>
  <c r="Q12" i="20"/>
  <c r="R12" i="20"/>
  <c r="Q13" i="20"/>
  <c r="R13" i="20"/>
  <c r="Q14" i="20"/>
  <c r="R14" i="20"/>
  <c r="Q15" i="20"/>
  <c r="R15" i="20"/>
  <c r="Q16" i="20"/>
  <c r="R16" i="20"/>
  <c r="Q17" i="20"/>
  <c r="R17" i="20"/>
  <c r="Q18" i="20"/>
  <c r="R18" i="20"/>
  <c r="S6" i="20"/>
  <c r="R6" i="20"/>
  <c r="Q6" i="20"/>
  <c r="K17" i="19"/>
  <c r="K8" i="19"/>
  <c r="K21" i="19"/>
  <c r="H21" i="13"/>
  <c r="H13" i="24"/>
  <c r="H9" i="24"/>
  <c r="H12" i="24"/>
  <c r="H18" i="24"/>
  <c r="N18" i="24" s="1"/>
  <c r="H20" i="24"/>
  <c r="N20" i="24" s="1"/>
  <c r="H17" i="24"/>
  <c r="H19" i="24"/>
  <c r="H14" i="24"/>
  <c r="H11" i="24"/>
  <c r="H16" i="24"/>
  <c r="H15" i="24"/>
  <c r="N17" i="24" s="1"/>
  <c r="H10" i="24"/>
  <c r="O6" i="27"/>
  <c r="AQ5" i="2"/>
  <c r="AQ6" i="2"/>
  <c r="AQ7" i="2"/>
  <c r="AQ8" i="2"/>
  <c r="AQ9" i="2"/>
  <c r="AQ10" i="2"/>
  <c r="AQ11" i="2"/>
  <c r="AQ12" i="2"/>
  <c r="AQ13" i="2"/>
  <c r="AQ14" i="2"/>
  <c r="AQ15" i="2"/>
  <c r="AQ16" i="2"/>
  <c r="AQ4" i="2"/>
  <c r="AI2" i="2"/>
  <c r="U19" i="19"/>
  <c r="R34" i="19"/>
  <c r="K27" i="19"/>
  <c r="D27" i="19"/>
  <c r="D22" i="26"/>
  <c r="H23" i="26"/>
  <c r="H22" i="26"/>
  <c r="H10" i="25"/>
  <c r="X31" i="27"/>
  <c r="W31" i="27"/>
  <c r="V31" i="27"/>
  <c r="I31" i="27" s="1"/>
  <c r="X30" i="27"/>
  <c r="W30" i="27"/>
  <c r="V30" i="27"/>
  <c r="X29" i="27"/>
  <c r="W29" i="27"/>
  <c r="V29" i="27"/>
  <c r="X28" i="27"/>
  <c r="W28" i="27"/>
  <c r="V28" i="27"/>
  <c r="X27" i="27"/>
  <c r="W27" i="27"/>
  <c r="V27" i="27"/>
  <c r="X26" i="27"/>
  <c r="W26" i="27"/>
  <c r="V26" i="27"/>
  <c r="X25" i="27"/>
  <c r="W25" i="27"/>
  <c r="V25" i="27"/>
  <c r="X24" i="27"/>
  <c r="W24" i="27"/>
  <c r="V24" i="27"/>
  <c r="X23" i="27"/>
  <c r="W23" i="27"/>
  <c r="V23" i="27"/>
  <c r="X22" i="27"/>
  <c r="W22" i="27"/>
  <c r="V22" i="27"/>
  <c r="X21" i="27"/>
  <c r="W21" i="27"/>
  <c r="V21" i="27"/>
  <c r="X20" i="27"/>
  <c r="W20" i="27"/>
  <c r="V20" i="27"/>
  <c r="X19" i="27"/>
  <c r="W19" i="27"/>
  <c r="V19" i="27"/>
  <c r="X18" i="27"/>
  <c r="W18" i="27"/>
  <c r="V18" i="27"/>
  <c r="X17" i="27"/>
  <c r="W17" i="27"/>
  <c r="V17" i="27"/>
  <c r="X16" i="27"/>
  <c r="W16" i="27"/>
  <c r="V16" i="27"/>
  <c r="X15" i="27"/>
  <c r="W15" i="27"/>
  <c r="V15" i="27"/>
  <c r="X14" i="27"/>
  <c r="W14" i="27"/>
  <c r="V14" i="27"/>
  <c r="X13" i="27"/>
  <c r="W13" i="27"/>
  <c r="V13" i="27"/>
  <c r="X12" i="27"/>
  <c r="W12" i="27"/>
  <c r="V12" i="27"/>
  <c r="X11" i="27"/>
  <c r="W11" i="27"/>
  <c r="V11" i="27"/>
  <c r="X10" i="27"/>
  <c r="W10" i="27"/>
  <c r="V10" i="27"/>
  <c r="X9" i="27"/>
  <c r="W9" i="27"/>
  <c r="V9" i="27"/>
  <c r="X8" i="27"/>
  <c r="W8" i="27"/>
  <c r="V8" i="27"/>
  <c r="X7" i="27"/>
  <c r="W7" i="27"/>
  <c r="V7" i="27"/>
  <c r="X31" i="26"/>
  <c r="W31" i="26"/>
  <c r="I31" i="26" s="1"/>
  <c r="V31" i="26"/>
  <c r="X30" i="26"/>
  <c r="W30" i="26"/>
  <c r="V30" i="26"/>
  <c r="X29" i="26"/>
  <c r="W29" i="26"/>
  <c r="V29" i="26"/>
  <c r="X28" i="26"/>
  <c r="W28" i="26"/>
  <c r="V28" i="26"/>
  <c r="X27" i="26"/>
  <c r="W27" i="26"/>
  <c r="V27" i="26"/>
  <c r="X26" i="26"/>
  <c r="W26" i="26"/>
  <c r="V26" i="26"/>
  <c r="X25" i="26"/>
  <c r="W25" i="26"/>
  <c r="V25" i="26"/>
  <c r="X24" i="26"/>
  <c r="W24" i="26"/>
  <c r="V24" i="26"/>
  <c r="X23" i="26"/>
  <c r="W23" i="26"/>
  <c r="I23" i="26" s="1"/>
  <c r="V23" i="26"/>
  <c r="X22" i="26"/>
  <c r="W22" i="26"/>
  <c r="I22" i="26" s="1"/>
  <c r="V22" i="26"/>
  <c r="X21" i="26"/>
  <c r="W21" i="26"/>
  <c r="I21" i="26" s="1"/>
  <c r="V21" i="26"/>
  <c r="X20" i="26"/>
  <c r="W20" i="26"/>
  <c r="I20" i="26" s="1"/>
  <c r="V20" i="26"/>
  <c r="X19" i="26"/>
  <c r="W19" i="26"/>
  <c r="I19" i="26" s="1"/>
  <c r="V19" i="26"/>
  <c r="X18" i="26"/>
  <c r="W18" i="26"/>
  <c r="V18" i="26"/>
  <c r="X17" i="26"/>
  <c r="W17" i="26"/>
  <c r="V17" i="26"/>
  <c r="X16" i="26"/>
  <c r="W16" i="26"/>
  <c r="V16" i="26"/>
  <c r="X15" i="26"/>
  <c r="W15" i="26"/>
  <c r="I15" i="26" s="1"/>
  <c r="V15" i="26"/>
  <c r="X14" i="26"/>
  <c r="W14" i="26"/>
  <c r="I14" i="26" s="1"/>
  <c r="V14" i="26"/>
  <c r="X13" i="26"/>
  <c r="W13" i="26"/>
  <c r="I13" i="26" s="1"/>
  <c r="V13" i="26"/>
  <c r="X12" i="26"/>
  <c r="W12" i="26"/>
  <c r="I12" i="26" s="1"/>
  <c r="V12" i="26"/>
  <c r="X11" i="26"/>
  <c r="W11" i="26"/>
  <c r="I11" i="26" s="1"/>
  <c r="V11" i="26"/>
  <c r="X10" i="26"/>
  <c r="W10" i="26"/>
  <c r="I10" i="26" s="1"/>
  <c r="V10" i="26"/>
  <c r="X9" i="26"/>
  <c r="W9" i="26"/>
  <c r="I9" i="26" s="1"/>
  <c r="V9" i="26"/>
  <c r="X8" i="26"/>
  <c r="W8" i="26"/>
  <c r="I8" i="26" s="1"/>
  <c r="V8" i="26"/>
  <c r="X7" i="26"/>
  <c r="W7" i="26"/>
  <c r="I7" i="26" s="1"/>
  <c r="K7" i="26" s="1"/>
  <c r="L7" i="26" s="1"/>
  <c r="V7" i="26"/>
  <c r="Y31" i="25"/>
  <c r="X31" i="25"/>
  <c r="I31" i="25" s="1"/>
  <c r="W31" i="25"/>
  <c r="Y30" i="25"/>
  <c r="X30" i="25"/>
  <c r="W30" i="25"/>
  <c r="Y29" i="25"/>
  <c r="X29" i="25"/>
  <c r="W29" i="25"/>
  <c r="Y28" i="25"/>
  <c r="X28" i="25"/>
  <c r="W28" i="25"/>
  <c r="Y27" i="25"/>
  <c r="X27" i="25"/>
  <c r="W27" i="25"/>
  <c r="Y26" i="25"/>
  <c r="X26" i="25"/>
  <c r="I26" i="25" s="1"/>
  <c r="W26" i="25"/>
  <c r="Y25" i="25"/>
  <c r="X25" i="25"/>
  <c r="W25" i="25"/>
  <c r="Y24" i="25"/>
  <c r="X24" i="25"/>
  <c r="W24" i="25"/>
  <c r="Y23" i="25"/>
  <c r="X23" i="25"/>
  <c r="I23" i="25" s="1"/>
  <c r="W23" i="25"/>
  <c r="Y22" i="25"/>
  <c r="X22" i="25"/>
  <c r="I22" i="25" s="1"/>
  <c r="K22" i="25" s="1"/>
  <c r="W22" i="25"/>
  <c r="Y21" i="25"/>
  <c r="X21" i="25"/>
  <c r="I21" i="25" s="1"/>
  <c r="K21" i="25" s="1"/>
  <c r="W21" i="25"/>
  <c r="Y20" i="25"/>
  <c r="X20" i="25"/>
  <c r="I20" i="25" s="1"/>
  <c r="K20" i="25" s="1"/>
  <c r="W20" i="25"/>
  <c r="Y19" i="25"/>
  <c r="X19" i="25"/>
  <c r="I19" i="25" s="1"/>
  <c r="K19" i="25" s="1"/>
  <c r="W19" i="25"/>
  <c r="Y18" i="25"/>
  <c r="X18" i="25"/>
  <c r="I18" i="25" s="1"/>
  <c r="K18" i="25" s="1"/>
  <c r="W18" i="25"/>
  <c r="Y17" i="25"/>
  <c r="X17" i="25"/>
  <c r="W17" i="25"/>
  <c r="Y16" i="25"/>
  <c r="X16" i="25"/>
  <c r="I16" i="25" s="1"/>
  <c r="W16" i="25"/>
  <c r="Y15" i="25"/>
  <c r="X15" i="25"/>
  <c r="W15" i="25"/>
  <c r="Y14" i="25"/>
  <c r="X14" i="25"/>
  <c r="W14" i="25"/>
  <c r="Y13" i="25"/>
  <c r="X13" i="25"/>
  <c r="W13" i="25"/>
  <c r="Y12" i="25"/>
  <c r="X12" i="25"/>
  <c r="W12" i="25"/>
  <c r="Y11" i="25"/>
  <c r="X11" i="25"/>
  <c r="W11" i="25"/>
  <c r="Y10" i="25"/>
  <c r="X10" i="25"/>
  <c r="W10" i="25"/>
  <c r="Y9" i="25"/>
  <c r="X9" i="25"/>
  <c r="I17" i="25" s="1"/>
  <c r="W9" i="25"/>
  <c r="Y8" i="25"/>
  <c r="X8" i="25"/>
  <c r="I8" i="25" s="1"/>
  <c r="W8" i="25"/>
  <c r="Y7" i="25"/>
  <c r="X7" i="25"/>
  <c r="I7" i="25" s="1"/>
  <c r="W7" i="25"/>
  <c r="Y31" i="24"/>
  <c r="X31" i="24"/>
  <c r="W31" i="24"/>
  <c r="Y30" i="24"/>
  <c r="X30" i="24"/>
  <c r="W30" i="24"/>
  <c r="I30" i="24" s="1"/>
  <c r="Y29" i="24"/>
  <c r="X29" i="24"/>
  <c r="W29" i="24"/>
  <c r="Y28" i="24"/>
  <c r="X28" i="24"/>
  <c r="W28" i="24"/>
  <c r="Y27" i="24"/>
  <c r="X27" i="24"/>
  <c r="W27" i="24"/>
  <c r="Y26" i="24"/>
  <c r="X26" i="24"/>
  <c r="W26" i="24"/>
  <c r="I26" i="24" s="1"/>
  <c r="Y25" i="24"/>
  <c r="X25" i="24"/>
  <c r="W25" i="24"/>
  <c r="Y24" i="24"/>
  <c r="X24" i="24"/>
  <c r="W24" i="24"/>
  <c r="Y23" i="24"/>
  <c r="X23" i="24"/>
  <c r="W23" i="24"/>
  <c r="Y22" i="24"/>
  <c r="X22" i="24"/>
  <c r="W22" i="24"/>
  <c r="Y21" i="24"/>
  <c r="X21" i="24"/>
  <c r="W21" i="24"/>
  <c r="Y20" i="24"/>
  <c r="X20" i="24"/>
  <c r="W20" i="24"/>
  <c r="Y19" i="24"/>
  <c r="X19" i="24"/>
  <c r="W19" i="24"/>
  <c r="Y18" i="24"/>
  <c r="X18" i="24"/>
  <c r="W18" i="24"/>
  <c r="Y17" i="24"/>
  <c r="X17" i="24"/>
  <c r="W17" i="24"/>
  <c r="Y16" i="24"/>
  <c r="X16" i="24"/>
  <c r="W16" i="24"/>
  <c r="Y15" i="24"/>
  <c r="X15" i="24"/>
  <c r="W15" i="24"/>
  <c r="Y14" i="24"/>
  <c r="X14" i="24"/>
  <c r="W14" i="24"/>
  <c r="Y13" i="24"/>
  <c r="X13" i="24"/>
  <c r="W13" i="24"/>
  <c r="Y12" i="24"/>
  <c r="X12" i="24"/>
  <c r="W12" i="24"/>
  <c r="I12" i="24" s="1"/>
  <c r="Y11" i="24"/>
  <c r="X11" i="24"/>
  <c r="W11" i="24"/>
  <c r="Y10" i="24"/>
  <c r="X10" i="24"/>
  <c r="W10" i="24"/>
  <c r="Y9" i="24"/>
  <c r="X9" i="24"/>
  <c r="W9" i="24"/>
  <c r="Y8" i="24"/>
  <c r="X8" i="24"/>
  <c r="W8" i="24"/>
  <c r="Y7" i="24"/>
  <c r="X7" i="24"/>
  <c r="W7" i="24"/>
  <c r="X31" i="28"/>
  <c r="W31" i="28"/>
  <c r="V31" i="28"/>
  <c r="I31" i="28" s="1"/>
  <c r="X30" i="28"/>
  <c r="W30" i="28"/>
  <c r="V30" i="28"/>
  <c r="X29" i="28"/>
  <c r="W29" i="28"/>
  <c r="V29" i="28"/>
  <c r="X28" i="28"/>
  <c r="W28" i="28"/>
  <c r="V28" i="28"/>
  <c r="X27" i="28"/>
  <c r="W27" i="28"/>
  <c r="V27" i="28"/>
  <c r="X26" i="28"/>
  <c r="W26" i="28"/>
  <c r="V26" i="28"/>
  <c r="X25" i="28"/>
  <c r="W25" i="28"/>
  <c r="V25" i="28"/>
  <c r="I25" i="28" s="1"/>
  <c r="X24" i="28"/>
  <c r="W24" i="28"/>
  <c r="V24" i="28"/>
  <c r="I24" i="28" s="1"/>
  <c r="X23" i="28"/>
  <c r="W23" i="28"/>
  <c r="V23" i="28"/>
  <c r="I23" i="28" s="1"/>
  <c r="X22" i="28"/>
  <c r="W22" i="28"/>
  <c r="V22" i="28"/>
  <c r="I22" i="28" s="1"/>
  <c r="X21" i="28"/>
  <c r="W21" i="28"/>
  <c r="V21" i="28"/>
  <c r="I21" i="28" s="1"/>
  <c r="X20" i="28"/>
  <c r="W20" i="28"/>
  <c r="V20" i="28"/>
  <c r="I20" i="28" s="1"/>
  <c r="X19" i="28"/>
  <c r="W19" i="28"/>
  <c r="V19" i="28"/>
  <c r="I19" i="28" s="1"/>
  <c r="X18" i="28"/>
  <c r="W18" i="28"/>
  <c r="V18" i="28"/>
  <c r="I18" i="28" s="1"/>
  <c r="X17" i="28"/>
  <c r="W17" i="28"/>
  <c r="V17" i="28"/>
  <c r="I17" i="28" s="1"/>
  <c r="X16" i="28"/>
  <c r="W16" i="28"/>
  <c r="V16" i="28"/>
  <c r="I16" i="28" s="1"/>
  <c r="X15" i="28"/>
  <c r="W15" i="28"/>
  <c r="V15" i="28"/>
  <c r="I15" i="28" s="1"/>
  <c r="X14" i="28"/>
  <c r="W14" i="28"/>
  <c r="V14" i="28"/>
  <c r="I14" i="28" s="1"/>
  <c r="X13" i="28"/>
  <c r="W13" i="28"/>
  <c r="V13" i="28"/>
  <c r="I13" i="28" s="1"/>
  <c r="X12" i="28"/>
  <c r="W12" i="28"/>
  <c r="V12" i="28"/>
  <c r="I12" i="28" s="1"/>
  <c r="X11" i="28"/>
  <c r="W11" i="28"/>
  <c r="V11" i="28"/>
  <c r="I11" i="28" s="1"/>
  <c r="X10" i="28"/>
  <c r="W10" i="28"/>
  <c r="V10" i="28"/>
  <c r="I10" i="28" s="1"/>
  <c r="X9" i="28"/>
  <c r="W9" i="28"/>
  <c r="V9" i="28"/>
  <c r="I9" i="28" s="1"/>
  <c r="X8" i="28"/>
  <c r="W8" i="28"/>
  <c r="V8" i="28"/>
  <c r="I8" i="28" s="1"/>
  <c r="X7" i="28"/>
  <c r="W7" i="28"/>
  <c r="V7" i="28"/>
  <c r="I7" i="28" s="1"/>
  <c r="U31" i="27"/>
  <c r="T31" i="27"/>
  <c r="S31" i="27"/>
  <c r="U30" i="27"/>
  <c r="T30" i="27"/>
  <c r="S30" i="27"/>
  <c r="U29" i="27"/>
  <c r="T29" i="27"/>
  <c r="S29" i="27"/>
  <c r="U28" i="27"/>
  <c r="T28" i="27"/>
  <c r="S28" i="27"/>
  <c r="U27" i="27"/>
  <c r="T27" i="27"/>
  <c r="S27" i="27"/>
  <c r="U26" i="27"/>
  <c r="T26" i="27"/>
  <c r="S26" i="27"/>
  <c r="U25" i="27"/>
  <c r="T25" i="27"/>
  <c r="S25" i="27"/>
  <c r="U24" i="27"/>
  <c r="T24" i="27"/>
  <c r="S24" i="27"/>
  <c r="U23" i="27"/>
  <c r="T23" i="27"/>
  <c r="S23" i="27"/>
  <c r="U22" i="27"/>
  <c r="T22" i="27"/>
  <c r="S22" i="27"/>
  <c r="U21" i="27"/>
  <c r="T21" i="27"/>
  <c r="S21" i="27"/>
  <c r="U20" i="27"/>
  <c r="T20" i="27"/>
  <c r="S20" i="27"/>
  <c r="U19" i="27"/>
  <c r="T19" i="27"/>
  <c r="S19" i="27"/>
  <c r="U18" i="27"/>
  <c r="T18" i="27"/>
  <c r="S18" i="27"/>
  <c r="U17" i="27"/>
  <c r="T17" i="27"/>
  <c r="S17" i="27"/>
  <c r="U16" i="27"/>
  <c r="T16" i="27"/>
  <c r="S16" i="27"/>
  <c r="E16" i="27" s="1"/>
  <c r="U15" i="27"/>
  <c r="T15" i="27"/>
  <c r="S15" i="27"/>
  <c r="U14" i="27"/>
  <c r="T14" i="27"/>
  <c r="S14" i="27"/>
  <c r="U13" i="27"/>
  <c r="T13" i="27"/>
  <c r="S13" i="27"/>
  <c r="U12" i="27"/>
  <c r="T12" i="27"/>
  <c r="S12" i="27"/>
  <c r="E13" i="27" s="1"/>
  <c r="U11" i="27"/>
  <c r="T11" i="27"/>
  <c r="S11" i="27"/>
  <c r="U10" i="27"/>
  <c r="T10" i="27"/>
  <c r="S10" i="27"/>
  <c r="U9" i="27"/>
  <c r="T9" i="27"/>
  <c r="S9" i="27"/>
  <c r="U8" i="27"/>
  <c r="T8" i="27"/>
  <c r="S8" i="27"/>
  <c r="U7" i="27"/>
  <c r="T7" i="27"/>
  <c r="S7" i="27"/>
  <c r="U31" i="26"/>
  <c r="T31" i="26"/>
  <c r="S31" i="26"/>
  <c r="U30" i="26"/>
  <c r="T30" i="26"/>
  <c r="S30" i="26"/>
  <c r="U29" i="26"/>
  <c r="T29" i="26"/>
  <c r="S29" i="26"/>
  <c r="U28" i="26"/>
  <c r="T28" i="26"/>
  <c r="S28" i="26"/>
  <c r="U27" i="26"/>
  <c r="T27" i="26"/>
  <c r="S27" i="26"/>
  <c r="U26" i="26"/>
  <c r="T26" i="26"/>
  <c r="S26" i="26"/>
  <c r="U25" i="26"/>
  <c r="T25" i="26"/>
  <c r="S25" i="26"/>
  <c r="U24" i="26"/>
  <c r="T24" i="26"/>
  <c r="S24" i="26"/>
  <c r="U23" i="26"/>
  <c r="T23" i="26"/>
  <c r="E23" i="26" s="1"/>
  <c r="S23" i="26"/>
  <c r="U22" i="26"/>
  <c r="T22" i="26"/>
  <c r="E22" i="26" s="1"/>
  <c r="S22" i="26"/>
  <c r="U21" i="26"/>
  <c r="T21" i="26"/>
  <c r="E21" i="26" s="1"/>
  <c r="S21" i="26"/>
  <c r="U20" i="26"/>
  <c r="T20" i="26"/>
  <c r="E20" i="26" s="1"/>
  <c r="S20" i="26"/>
  <c r="U19" i="26"/>
  <c r="T19" i="26"/>
  <c r="E19" i="26" s="1"/>
  <c r="S19" i="26"/>
  <c r="U18" i="26"/>
  <c r="T18" i="26"/>
  <c r="E17" i="26" s="1"/>
  <c r="S18" i="26"/>
  <c r="U17" i="26"/>
  <c r="T17" i="26"/>
  <c r="S17" i="26"/>
  <c r="U16" i="26"/>
  <c r="T16" i="26"/>
  <c r="S16" i="26"/>
  <c r="U15" i="26"/>
  <c r="T15" i="26"/>
  <c r="E15" i="26" s="1"/>
  <c r="S15" i="26"/>
  <c r="U14" i="26"/>
  <c r="T14" i="26"/>
  <c r="E14" i="26" s="1"/>
  <c r="S14" i="26"/>
  <c r="U13" i="26"/>
  <c r="T13" i="26"/>
  <c r="E13" i="26" s="1"/>
  <c r="S13" i="26"/>
  <c r="U12" i="26"/>
  <c r="T12" i="26"/>
  <c r="E12" i="26" s="1"/>
  <c r="S12" i="26"/>
  <c r="U11" i="26"/>
  <c r="T11" i="26"/>
  <c r="E11" i="26" s="1"/>
  <c r="S11" i="26"/>
  <c r="U10" i="26"/>
  <c r="T10" i="26"/>
  <c r="E10" i="26" s="1"/>
  <c r="S10" i="26"/>
  <c r="U9" i="26"/>
  <c r="T9" i="26"/>
  <c r="E9" i="26" s="1"/>
  <c r="S9" i="26"/>
  <c r="U8" i="26"/>
  <c r="T8" i="26"/>
  <c r="E8" i="26" s="1"/>
  <c r="S8" i="26"/>
  <c r="U7" i="26"/>
  <c r="T7" i="26"/>
  <c r="E7" i="26" s="1"/>
  <c r="S7" i="26"/>
  <c r="V31" i="25"/>
  <c r="U31" i="25"/>
  <c r="T31" i="25"/>
  <c r="V30" i="25"/>
  <c r="U30" i="25"/>
  <c r="T30" i="25"/>
  <c r="V29" i="25"/>
  <c r="U29" i="25"/>
  <c r="T29" i="25"/>
  <c r="V28" i="25"/>
  <c r="U28" i="25"/>
  <c r="T28" i="25"/>
  <c r="V27" i="25"/>
  <c r="U27" i="25"/>
  <c r="T27" i="25"/>
  <c r="V26" i="25"/>
  <c r="U26" i="25"/>
  <c r="T26" i="25"/>
  <c r="V25" i="25"/>
  <c r="U25" i="25"/>
  <c r="T25" i="25"/>
  <c r="V24" i="25"/>
  <c r="U24" i="25"/>
  <c r="T24" i="25"/>
  <c r="V23" i="25"/>
  <c r="U23" i="25"/>
  <c r="E23" i="25" s="1"/>
  <c r="T23" i="25"/>
  <c r="V22" i="25"/>
  <c r="U22" i="25"/>
  <c r="E22" i="25" s="1"/>
  <c r="T22" i="25"/>
  <c r="V21" i="25"/>
  <c r="U21" i="25"/>
  <c r="E21" i="25" s="1"/>
  <c r="T21" i="25"/>
  <c r="V20" i="25"/>
  <c r="U20" i="25"/>
  <c r="E20" i="25" s="1"/>
  <c r="T20" i="25"/>
  <c r="V19" i="25"/>
  <c r="U19" i="25"/>
  <c r="E19" i="25" s="1"/>
  <c r="T19" i="25"/>
  <c r="V18" i="25"/>
  <c r="U18" i="25"/>
  <c r="E18" i="25" s="1"/>
  <c r="T18" i="25"/>
  <c r="V17" i="25"/>
  <c r="U17" i="25"/>
  <c r="T17" i="25"/>
  <c r="V16" i="25"/>
  <c r="U16" i="25"/>
  <c r="E16" i="25" s="1"/>
  <c r="T16" i="25"/>
  <c r="V15" i="25"/>
  <c r="U15" i="25"/>
  <c r="T15" i="25"/>
  <c r="V14" i="25"/>
  <c r="U14" i="25"/>
  <c r="T14" i="25"/>
  <c r="V13" i="25"/>
  <c r="U13" i="25"/>
  <c r="T13" i="25"/>
  <c r="V12" i="25"/>
  <c r="U12" i="25"/>
  <c r="T12" i="25"/>
  <c r="V11" i="25"/>
  <c r="U11" i="25"/>
  <c r="T11" i="25"/>
  <c r="V10" i="25"/>
  <c r="U10" i="25"/>
  <c r="T10" i="25"/>
  <c r="V9" i="25"/>
  <c r="U9" i="25"/>
  <c r="E17" i="25" s="1"/>
  <c r="T9" i="25"/>
  <c r="V8" i="25"/>
  <c r="U8" i="25"/>
  <c r="E8" i="25" s="1"/>
  <c r="T8" i="25"/>
  <c r="V7" i="25"/>
  <c r="U7" i="25"/>
  <c r="E7" i="25" s="1"/>
  <c r="T7" i="25"/>
  <c r="V31" i="24"/>
  <c r="U31" i="24"/>
  <c r="T31" i="24"/>
  <c r="V30" i="24"/>
  <c r="U30" i="24"/>
  <c r="T30" i="24"/>
  <c r="V29" i="24"/>
  <c r="U29" i="24"/>
  <c r="T29" i="24"/>
  <c r="V28" i="24"/>
  <c r="U28" i="24"/>
  <c r="T28" i="24"/>
  <c r="V27" i="24"/>
  <c r="U27" i="24"/>
  <c r="T27" i="24"/>
  <c r="V26" i="24"/>
  <c r="U26" i="24"/>
  <c r="T26" i="24"/>
  <c r="V25" i="24"/>
  <c r="U25" i="24"/>
  <c r="T25" i="24"/>
  <c r="V24" i="24"/>
  <c r="U24" i="24"/>
  <c r="T24" i="24"/>
  <c r="V23" i="24"/>
  <c r="U23" i="24"/>
  <c r="T23" i="24"/>
  <c r="V22" i="24"/>
  <c r="U22" i="24"/>
  <c r="T22" i="24"/>
  <c r="V21" i="24"/>
  <c r="U21" i="24"/>
  <c r="T21" i="24"/>
  <c r="V20" i="24"/>
  <c r="U20" i="24"/>
  <c r="T20" i="24"/>
  <c r="V19" i="24"/>
  <c r="U19" i="24"/>
  <c r="T19" i="24"/>
  <c r="V18" i="24"/>
  <c r="U18" i="24"/>
  <c r="T18" i="24"/>
  <c r="V17" i="24"/>
  <c r="U17" i="24"/>
  <c r="T17" i="24"/>
  <c r="V16" i="24"/>
  <c r="U16" i="24"/>
  <c r="T16" i="24"/>
  <c r="V15" i="24"/>
  <c r="U15" i="24"/>
  <c r="T15" i="24"/>
  <c r="V14" i="24"/>
  <c r="U14" i="24"/>
  <c r="T14" i="24"/>
  <c r="V13" i="24"/>
  <c r="U13" i="24"/>
  <c r="T13" i="24"/>
  <c r="V12" i="24"/>
  <c r="U12" i="24"/>
  <c r="T12" i="24"/>
  <c r="V11" i="24"/>
  <c r="U11" i="24"/>
  <c r="T11" i="24"/>
  <c r="V10" i="24"/>
  <c r="U10" i="24"/>
  <c r="T10" i="24"/>
  <c r="V9" i="24"/>
  <c r="U9" i="24"/>
  <c r="T9" i="24"/>
  <c r="V8" i="24"/>
  <c r="U8" i="24"/>
  <c r="T8" i="24"/>
  <c r="V7" i="24"/>
  <c r="U7" i="24"/>
  <c r="T7" i="24"/>
  <c r="U31" i="28"/>
  <c r="T31" i="28"/>
  <c r="S31" i="28"/>
  <c r="U30" i="28"/>
  <c r="T30" i="28"/>
  <c r="S30" i="28"/>
  <c r="U29" i="28"/>
  <c r="T29" i="28"/>
  <c r="S29" i="28"/>
  <c r="U28" i="28"/>
  <c r="T28" i="28"/>
  <c r="S28" i="28"/>
  <c r="U27" i="28"/>
  <c r="T27" i="28"/>
  <c r="S27" i="28"/>
  <c r="U26" i="28"/>
  <c r="T26" i="28"/>
  <c r="S26" i="28"/>
  <c r="U25" i="28"/>
  <c r="T25" i="28"/>
  <c r="S25" i="28"/>
  <c r="U24" i="28"/>
  <c r="T24" i="28"/>
  <c r="S24" i="28"/>
  <c r="U23" i="28"/>
  <c r="T23" i="28"/>
  <c r="S23" i="28"/>
  <c r="U22" i="28"/>
  <c r="T22" i="28"/>
  <c r="S22" i="28"/>
  <c r="U21" i="28"/>
  <c r="T21" i="28"/>
  <c r="S21" i="28"/>
  <c r="U20" i="28"/>
  <c r="T20" i="28"/>
  <c r="S20" i="28"/>
  <c r="U19" i="28"/>
  <c r="T19" i="28"/>
  <c r="S19" i="28"/>
  <c r="U18" i="28"/>
  <c r="T18" i="28"/>
  <c r="S18" i="28"/>
  <c r="U17" i="28"/>
  <c r="T17" i="28"/>
  <c r="S17" i="28"/>
  <c r="U16" i="28"/>
  <c r="T16" i="28"/>
  <c r="S16" i="28"/>
  <c r="E16" i="28" s="1"/>
  <c r="U15" i="28"/>
  <c r="T15" i="28"/>
  <c r="S15" i="28"/>
  <c r="E15" i="28" s="1"/>
  <c r="U14" i="28"/>
  <c r="T14" i="28"/>
  <c r="S14" i="28"/>
  <c r="E14" i="28" s="1"/>
  <c r="U13" i="28"/>
  <c r="T13" i="28"/>
  <c r="S13" i="28"/>
  <c r="E13" i="28" s="1"/>
  <c r="U12" i="28"/>
  <c r="T12" i="28"/>
  <c r="S12" i="28"/>
  <c r="E12" i="28" s="1"/>
  <c r="U11" i="28"/>
  <c r="T11" i="28"/>
  <c r="S11" i="28"/>
  <c r="E11" i="28" s="1"/>
  <c r="U10" i="28"/>
  <c r="T10" i="28"/>
  <c r="S10" i="28"/>
  <c r="E10" i="28" s="1"/>
  <c r="U9" i="28"/>
  <c r="T9" i="28"/>
  <c r="S9" i="28"/>
  <c r="E9" i="28" s="1"/>
  <c r="U8" i="28"/>
  <c r="T8" i="28"/>
  <c r="S8" i="28"/>
  <c r="E8" i="28" s="1"/>
  <c r="U7" i="28"/>
  <c r="T7" i="28"/>
  <c r="S7" i="28"/>
  <c r="E7" i="28" s="1"/>
  <c r="V31" i="23"/>
  <c r="U31" i="23"/>
  <c r="T31" i="23"/>
  <c r="V30" i="23"/>
  <c r="U30" i="23"/>
  <c r="T30" i="23"/>
  <c r="V29" i="23"/>
  <c r="U29" i="23"/>
  <c r="T29" i="23"/>
  <c r="V28" i="23"/>
  <c r="U28" i="23"/>
  <c r="T28" i="23"/>
  <c r="V27" i="23"/>
  <c r="U27" i="23"/>
  <c r="T27" i="23"/>
  <c r="V26" i="23"/>
  <c r="U26" i="23"/>
  <c r="T26" i="23"/>
  <c r="V25" i="23"/>
  <c r="U25" i="23"/>
  <c r="T25" i="23"/>
  <c r="V24" i="23"/>
  <c r="U24" i="23"/>
  <c r="T24" i="23"/>
  <c r="V23" i="23"/>
  <c r="U23" i="23"/>
  <c r="T23" i="23"/>
  <c r="E23" i="23" s="1"/>
  <c r="V22" i="23"/>
  <c r="U22" i="23"/>
  <c r="T22" i="23"/>
  <c r="V21" i="23"/>
  <c r="U21" i="23"/>
  <c r="T21" i="23"/>
  <c r="E21" i="23" s="1"/>
  <c r="V20" i="23"/>
  <c r="U20" i="23"/>
  <c r="T20" i="23"/>
  <c r="V19" i="23"/>
  <c r="U19" i="23"/>
  <c r="T19" i="23"/>
  <c r="V18" i="23"/>
  <c r="U18" i="23"/>
  <c r="T18" i="23"/>
  <c r="V17" i="23"/>
  <c r="U17" i="23"/>
  <c r="T17" i="23"/>
  <c r="V16" i="23"/>
  <c r="U16" i="23"/>
  <c r="T16" i="23"/>
  <c r="V15" i="23"/>
  <c r="U15" i="23"/>
  <c r="T15" i="23"/>
  <c r="V14" i="23"/>
  <c r="U14" i="23"/>
  <c r="T14" i="23"/>
  <c r="V13" i="23"/>
  <c r="U13" i="23"/>
  <c r="T13" i="23"/>
  <c r="V12" i="23"/>
  <c r="U12" i="23"/>
  <c r="T12" i="23"/>
  <c r="V11" i="23"/>
  <c r="U11" i="23"/>
  <c r="T11" i="23"/>
  <c r="V10" i="23"/>
  <c r="U10" i="23"/>
  <c r="T10" i="23"/>
  <c r="V9" i="23"/>
  <c r="U9" i="23"/>
  <c r="T9" i="23"/>
  <c r="V8" i="23"/>
  <c r="U8" i="23"/>
  <c r="T8" i="23"/>
  <c r="V7" i="23"/>
  <c r="U7" i="23"/>
  <c r="T7" i="23"/>
  <c r="Y31" i="23"/>
  <c r="X31" i="23"/>
  <c r="W31" i="23"/>
  <c r="I31" i="23" s="1"/>
  <c r="Y30" i="23"/>
  <c r="X30" i="23"/>
  <c r="W30" i="23"/>
  <c r="Y29" i="23"/>
  <c r="X29" i="23"/>
  <c r="W29" i="23"/>
  <c r="Y28" i="23"/>
  <c r="X28" i="23"/>
  <c r="W28" i="23"/>
  <c r="Y27" i="23"/>
  <c r="X27" i="23"/>
  <c r="W27" i="23"/>
  <c r="Y26" i="23"/>
  <c r="X26" i="23"/>
  <c r="W26" i="23"/>
  <c r="Y25" i="23"/>
  <c r="X25" i="23"/>
  <c r="W25" i="23"/>
  <c r="I25" i="23" s="1"/>
  <c r="Y24" i="23"/>
  <c r="X24" i="23"/>
  <c r="W24" i="23"/>
  <c r="I24" i="23" s="1"/>
  <c r="Y23" i="23"/>
  <c r="X23" i="23"/>
  <c r="W23" i="23"/>
  <c r="I23" i="23" s="1"/>
  <c r="Y22" i="23"/>
  <c r="X22" i="23"/>
  <c r="W22" i="23"/>
  <c r="Y21" i="23"/>
  <c r="X21" i="23"/>
  <c r="W21" i="23"/>
  <c r="Y20" i="23"/>
  <c r="X20" i="23"/>
  <c r="W20" i="23"/>
  <c r="Y19" i="23"/>
  <c r="X19" i="23"/>
  <c r="W19" i="23"/>
  <c r="Y18" i="23"/>
  <c r="X18" i="23"/>
  <c r="W18" i="23"/>
  <c r="Y17" i="23"/>
  <c r="X17" i="23"/>
  <c r="W17" i="23"/>
  <c r="Y16" i="23"/>
  <c r="X16" i="23"/>
  <c r="W16" i="23"/>
  <c r="Y15" i="23"/>
  <c r="X15" i="23"/>
  <c r="W15" i="23"/>
  <c r="Y14" i="23"/>
  <c r="X14" i="23"/>
  <c r="W14" i="23"/>
  <c r="Y13" i="23"/>
  <c r="X13" i="23"/>
  <c r="W13" i="23"/>
  <c r="Y12" i="23"/>
  <c r="X12" i="23"/>
  <c r="W12" i="23"/>
  <c r="Y11" i="23"/>
  <c r="X11" i="23"/>
  <c r="W11" i="23"/>
  <c r="Y10" i="23"/>
  <c r="X10" i="23"/>
  <c r="W10" i="23"/>
  <c r="Y9" i="23"/>
  <c r="X9" i="23"/>
  <c r="W9" i="23"/>
  <c r="Y8" i="23"/>
  <c r="X8" i="23"/>
  <c r="W8" i="23"/>
  <c r="Y7" i="23"/>
  <c r="X7" i="23"/>
  <c r="W7" i="23"/>
  <c r="S8" i="13"/>
  <c r="T8" i="13"/>
  <c r="V8" i="13"/>
  <c r="W8" i="13"/>
  <c r="X8" i="13"/>
  <c r="S10" i="13"/>
  <c r="T10" i="13"/>
  <c r="U10" i="13"/>
  <c r="V10" i="13"/>
  <c r="W10" i="13"/>
  <c r="X10" i="13"/>
  <c r="S11" i="13"/>
  <c r="T11" i="13"/>
  <c r="U11" i="13"/>
  <c r="V11" i="13"/>
  <c r="W11" i="13"/>
  <c r="X11" i="13"/>
  <c r="S12" i="13"/>
  <c r="T12" i="13"/>
  <c r="V12" i="13"/>
  <c r="W12" i="13"/>
  <c r="X12" i="13"/>
  <c r="S13" i="13"/>
  <c r="T13" i="13"/>
  <c r="U13" i="13"/>
  <c r="V13" i="13"/>
  <c r="W13" i="13"/>
  <c r="X13" i="13"/>
  <c r="S14" i="13"/>
  <c r="T14" i="13"/>
  <c r="V14" i="13"/>
  <c r="W14" i="13"/>
  <c r="X14" i="13"/>
  <c r="S15" i="13"/>
  <c r="T15" i="13"/>
  <c r="V15" i="13"/>
  <c r="W15" i="13"/>
  <c r="X15" i="13"/>
  <c r="S16" i="13"/>
  <c r="U16" i="13"/>
  <c r="V16" i="13"/>
  <c r="W16" i="13"/>
  <c r="X16" i="13"/>
  <c r="S17" i="13"/>
  <c r="T17" i="13"/>
  <c r="U17" i="13"/>
  <c r="V17" i="13"/>
  <c r="W17" i="13"/>
  <c r="X17" i="13"/>
  <c r="S18" i="13"/>
  <c r="T18" i="13"/>
  <c r="E12" i="13" s="1"/>
  <c r="V18" i="13"/>
  <c r="W18" i="13"/>
  <c r="X18" i="13"/>
  <c r="S19" i="13"/>
  <c r="T19" i="13"/>
  <c r="U19" i="13"/>
  <c r="V19" i="13"/>
  <c r="W19" i="13"/>
  <c r="X19" i="13"/>
  <c r="S20" i="13"/>
  <c r="T20" i="13"/>
  <c r="U20" i="13"/>
  <c r="V20" i="13"/>
  <c r="W20" i="13"/>
  <c r="X20" i="13"/>
  <c r="S21" i="13"/>
  <c r="T21" i="13"/>
  <c r="U21" i="13"/>
  <c r="V21" i="13"/>
  <c r="W21" i="13"/>
  <c r="X21" i="13"/>
  <c r="S22" i="13"/>
  <c r="U22" i="13"/>
  <c r="V22" i="13"/>
  <c r="W22" i="13"/>
  <c r="X22" i="13"/>
  <c r="T23" i="13"/>
  <c r="U23" i="13"/>
  <c r="V23" i="13"/>
  <c r="W23" i="13"/>
  <c r="X23" i="13"/>
  <c r="S24" i="13"/>
  <c r="T24" i="13"/>
  <c r="U24" i="13"/>
  <c r="V24" i="13"/>
  <c r="W24" i="13"/>
  <c r="X24" i="13"/>
  <c r="S25" i="13"/>
  <c r="T25" i="13"/>
  <c r="U25" i="13"/>
  <c r="V25" i="13"/>
  <c r="W25" i="13"/>
  <c r="X25" i="13"/>
  <c r="S26" i="13"/>
  <c r="T26" i="13"/>
  <c r="U26" i="13"/>
  <c r="V26" i="13"/>
  <c r="W26" i="13"/>
  <c r="I26" i="13" s="1"/>
  <c r="X26" i="13"/>
  <c r="S27" i="13"/>
  <c r="T27" i="13"/>
  <c r="U27" i="13"/>
  <c r="V27" i="13"/>
  <c r="W27" i="13"/>
  <c r="X27" i="13"/>
  <c r="S28" i="13"/>
  <c r="T28" i="13"/>
  <c r="U28" i="13"/>
  <c r="V28" i="13"/>
  <c r="W28" i="13"/>
  <c r="X28" i="13"/>
  <c r="S29" i="13"/>
  <c r="T29" i="13"/>
  <c r="U29" i="13"/>
  <c r="V29" i="13"/>
  <c r="W29" i="13"/>
  <c r="X29" i="13"/>
  <c r="S30" i="13"/>
  <c r="T30" i="13"/>
  <c r="U30" i="13"/>
  <c r="V30" i="13"/>
  <c r="W30" i="13"/>
  <c r="X30" i="13"/>
  <c r="S31" i="13"/>
  <c r="T31" i="13"/>
  <c r="U31" i="13"/>
  <c r="V31" i="13"/>
  <c r="W31" i="13"/>
  <c r="I31" i="13" s="1"/>
  <c r="X31" i="13"/>
  <c r="U7" i="13"/>
  <c r="T7" i="13"/>
  <c r="S7" i="13"/>
  <c r="V7" i="13"/>
  <c r="X7" i="13"/>
  <c r="W7" i="13"/>
  <c r="F35" i="28"/>
  <c r="AB31" i="28"/>
  <c r="AA31" i="28"/>
  <c r="Z31" i="28"/>
  <c r="H31" i="28"/>
  <c r="D31" i="28"/>
  <c r="AB30" i="28"/>
  <c r="AA30" i="28"/>
  <c r="Z30" i="28"/>
  <c r="D30" i="28"/>
  <c r="AB29" i="28"/>
  <c r="AA29" i="28"/>
  <c r="Z29" i="28"/>
  <c r="D29" i="28"/>
  <c r="AB28" i="28"/>
  <c r="AA28" i="28"/>
  <c r="Z28" i="28"/>
  <c r="AB27" i="28"/>
  <c r="AA27" i="28"/>
  <c r="Z27" i="28"/>
  <c r="H27" i="28"/>
  <c r="D27" i="28"/>
  <c r="AB26" i="28"/>
  <c r="AA26" i="28"/>
  <c r="Z26" i="28"/>
  <c r="H26" i="28"/>
  <c r="AB25" i="28"/>
  <c r="AA25" i="28"/>
  <c r="Z25" i="28"/>
  <c r="H25" i="28"/>
  <c r="AB24" i="28"/>
  <c r="AA24" i="28"/>
  <c r="Z24" i="28"/>
  <c r="H24" i="28"/>
  <c r="AB23" i="28"/>
  <c r="AA23" i="28"/>
  <c r="Z23" i="28"/>
  <c r="H23" i="28"/>
  <c r="AB22" i="28"/>
  <c r="AA22" i="28"/>
  <c r="Z22" i="28"/>
  <c r="H22" i="28"/>
  <c r="AB21" i="28"/>
  <c r="AA21" i="28"/>
  <c r="Z21" i="28"/>
  <c r="H21" i="28"/>
  <c r="AB20" i="28"/>
  <c r="AA20" i="28"/>
  <c r="Z20" i="28"/>
  <c r="H20" i="28"/>
  <c r="AB19" i="28"/>
  <c r="AA19" i="28"/>
  <c r="Z19" i="28"/>
  <c r="H19" i="28"/>
  <c r="AB18" i="28"/>
  <c r="AA18" i="28"/>
  <c r="Z18" i="28"/>
  <c r="H18" i="28"/>
  <c r="AB17" i="28"/>
  <c r="AA17" i="28"/>
  <c r="Z17" i="28"/>
  <c r="H17" i="28"/>
  <c r="AB16" i="28"/>
  <c r="AA16" i="28"/>
  <c r="Z16" i="28"/>
  <c r="H16" i="28"/>
  <c r="D16" i="28"/>
  <c r="AB15" i="28"/>
  <c r="AA15" i="28"/>
  <c r="Z15" i="28"/>
  <c r="H15" i="28"/>
  <c r="D15" i="28"/>
  <c r="AB14" i="28"/>
  <c r="AA14" i="28"/>
  <c r="Z14" i="28"/>
  <c r="H14" i="28"/>
  <c r="D14" i="28"/>
  <c r="AB13" i="28"/>
  <c r="AA13" i="28"/>
  <c r="Z13" i="28"/>
  <c r="H13" i="28"/>
  <c r="D13" i="28"/>
  <c r="AB12" i="28"/>
  <c r="AA12" i="28"/>
  <c r="Z12" i="28"/>
  <c r="H12" i="28"/>
  <c r="D12" i="28"/>
  <c r="AB11" i="28"/>
  <c r="AA11" i="28"/>
  <c r="Z11" i="28"/>
  <c r="H11" i="28"/>
  <c r="D11" i="28"/>
  <c r="AB10" i="28"/>
  <c r="AA10" i="28"/>
  <c r="Z10" i="28"/>
  <c r="H10" i="28"/>
  <c r="D10" i="28"/>
  <c r="AB9" i="28"/>
  <c r="AA9" i="28"/>
  <c r="Z9" i="28"/>
  <c r="H9" i="28"/>
  <c r="D9" i="28"/>
  <c r="AB8" i="28"/>
  <c r="AA8" i="28"/>
  <c r="Z8" i="28"/>
  <c r="H8" i="28"/>
  <c r="D8" i="28"/>
  <c r="AB7" i="28"/>
  <c r="AA7" i="28"/>
  <c r="Z7" i="28"/>
  <c r="H7" i="28"/>
  <c r="D7" i="28"/>
  <c r="O6" i="28"/>
  <c r="N3" i="28"/>
  <c r="N16" i="28" s="1"/>
  <c r="D2" i="28"/>
  <c r="AH34" i="19"/>
  <c r="AA34" i="19"/>
  <c r="AH33" i="19"/>
  <c r="AA33" i="19"/>
  <c r="AH32" i="19"/>
  <c r="AA32" i="19"/>
  <c r="AH31" i="19"/>
  <c r="AA31" i="19"/>
  <c r="AH30" i="19"/>
  <c r="AA30" i="19"/>
  <c r="AH29" i="19"/>
  <c r="AA29" i="19"/>
  <c r="AA36" i="19"/>
  <c r="H19" i="13"/>
  <c r="D19" i="13"/>
  <c r="H8" i="13"/>
  <c r="D8" i="13"/>
  <c r="H20" i="13"/>
  <c r="D20" i="13"/>
  <c r="H18" i="13"/>
  <c r="D18" i="13"/>
  <c r="H12" i="13"/>
  <c r="D12" i="13"/>
  <c r="H16" i="13"/>
  <c r="D16" i="13"/>
  <c r="H17" i="13"/>
  <c r="D17" i="13"/>
  <c r="H15" i="13"/>
  <c r="D15" i="13"/>
  <c r="H13" i="13"/>
  <c r="D13" i="13"/>
  <c r="H9" i="13"/>
  <c r="D9" i="13"/>
  <c r="H11" i="13"/>
  <c r="D11" i="13"/>
  <c r="H22" i="13"/>
  <c r="D22" i="13"/>
  <c r="H7" i="13"/>
  <c r="D7" i="13"/>
  <c r="D21" i="13"/>
  <c r="H14" i="13"/>
  <c r="D14" i="13"/>
  <c r="N3" i="27"/>
  <c r="N26" i="27" s="1"/>
  <c r="D13" i="27"/>
  <c r="H16" i="25"/>
  <c r="H25" i="23"/>
  <c r="H26" i="23"/>
  <c r="K26" i="23" s="1"/>
  <c r="H27" i="23"/>
  <c r="N27" i="23" s="1"/>
  <c r="K11" i="19"/>
  <c r="K13" i="19"/>
  <c r="D36" i="19"/>
  <c r="D35" i="19"/>
  <c r="D34" i="19"/>
  <c r="D20" i="19"/>
  <c r="D11" i="19"/>
  <c r="D15" i="19"/>
  <c r="D25" i="19"/>
  <c r="D13" i="19"/>
  <c r="U31" i="19"/>
  <c r="U30" i="19"/>
  <c r="U24" i="19"/>
  <c r="D9" i="24"/>
  <c r="D18" i="24"/>
  <c r="D12" i="24"/>
  <c r="D13" i="24"/>
  <c r="D22" i="24"/>
  <c r="D23" i="24"/>
  <c r="D25" i="24"/>
  <c r="D24" i="24"/>
  <c r="D26" i="24"/>
  <c r="H22" i="24"/>
  <c r="H23" i="24"/>
  <c r="N23" i="24" s="1"/>
  <c r="H25" i="24"/>
  <c r="N25" i="24" s="1"/>
  <c r="H24" i="24"/>
  <c r="H26" i="24"/>
  <c r="H28" i="24"/>
  <c r="N28" i="24" s="1"/>
  <c r="H27" i="24"/>
  <c r="N27" i="24" s="1"/>
  <c r="H29" i="24"/>
  <c r="H30" i="24"/>
  <c r="H31" i="24"/>
  <c r="D11" i="24"/>
  <c r="D14" i="24"/>
  <c r="D15" i="24"/>
  <c r="D7" i="24"/>
  <c r="D19" i="24"/>
  <c r="D20" i="24"/>
  <c r="D17" i="24"/>
  <c r="AA31" i="24"/>
  <c r="AB31" i="24"/>
  <c r="AC31" i="24"/>
  <c r="AA27" i="24"/>
  <c r="AB27" i="24"/>
  <c r="AC27" i="24"/>
  <c r="AA28" i="24"/>
  <c r="AB28" i="24"/>
  <c r="AC28" i="24"/>
  <c r="AA29" i="24"/>
  <c r="AB29" i="24"/>
  <c r="AC29" i="24"/>
  <c r="AA30" i="24"/>
  <c r="AB30" i="24"/>
  <c r="AC30" i="24"/>
  <c r="K12" i="19"/>
  <c r="K7" i="19"/>
  <c r="D11" i="23"/>
  <c r="H11" i="23"/>
  <c r="D20" i="23"/>
  <c r="H13" i="23"/>
  <c r="D14" i="23"/>
  <c r="H14" i="23"/>
  <c r="D12" i="23"/>
  <c r="H12" i="23"/>
  <c r="D23" i="23"/>
  <c r="H23" i="23"/>
  <c r="H24" i="23"/>
  <c r="N24" i="23" s="1"/>
  <c r="D25" i="23"/>
  <c r="B5" i="20"/>
  <c r="K18" i="19"/>
  <c r="K22" i="19"/>
  <c r="K16" i="19"/>
  <c r="K19" i="19"/>
  <c r="K14" i="19"/>
  <c r="K10" i="19"/>
  <c r="J37" i="19"/>
  <c r="AB31" i="27"/>
  <c r="AA31" i="27"/>
  <c r="Z31" i="27"/>
  <c r="O31" i="27" s="1"/>
  <c r="H31" i="27"/>
  <c r="D31" i="27"/>
  <c r="AB30" i="27"/>
  <c r="AA30" i="27"/>
  <c r="Z30" i="27"/>
  <c r="D30" i="27"/>
  <c r="AB29" i="27"/>
  <c r="AA29" i="27"/>
  <c r="Z29" i="27"/>
  <c r="D29" i="27"/>
  <c r="AB28" i="27"/>
  <c r="AA28" i="27"/>
  <c r="Z28" i="27"/>
  <c r="D28" i="27"/>
  <c r="AB27" i="27"/>
  <c r="AA27" i="27"/>
  <c r="Z27" i="27"/>
  <c r="H27" i="27"/>
  <c r="D27" i="27"/>
  <c r="AB26" i="27"/>
  <c r="AA26" i="27"/>
  <c r="Z26" i="27"/>
  <c r="O26" i="27" s="1"/>
  <c r="H26" i="27"/>
  <c r="D26" i="27"/>
  <c r="AB25" i="27"/>
  <c r="AA25" i="27"/>
  <c r="Z25" i="27"/>
  <c r="D25" i="27"/>
  <c r="AB24" i="27"/>
  <c r="AA24" i="27"/>
  <c r="Z24" i="27"/>
  <c r="AB23" i="27"/>
  <c r="AA23" i="27"/>
  <c r="Z23" i="27"/>
  <c r="D23" i="27"/>
  <c r="AB22" i="27"/>
  <c r="AA22" i="27"/>
  <c r="Z22" i="27"/>
  <c r="H13" i="27"/>
  <c r="AB21" i="27"/>
  <c r="AA21" i="27"/>
  <c r="Z21" i="27"/>
  <c r="D21" i="27"/>
  <c r="AB20" i="27"/>
  <c r="AA20" i="27"/>
  <c r="Z20" i="27"/>
  <c r="O20" i="27" s="1"/>
  <c r="H9" i="27"/>
  <c r="D9" i="27"/>
  <c r="AB19" i="27"/>
  <c r="AA19" i="27"/>
  <c r="Z19" i="27"/>
  <c r="O19" i="27" s="1"/>
  <c r="D22" i="27"/>
  <c r="AB18" i="27"/>
  <c r="AA18" i="27"/>
  <c r="Z18" i="27"/>
  <c r="O18" i="27" s="1"/>
  <c r="H11" i="27"/>
  <c r="D11" i="27"/>
  <c r="AB17" i="27"/>
  <c r="AA17" i="27"/>
  <c r="Z17" i="27"/>
  <c r="O17" i="27" s="1"/>
  <c r="H18" i="27"/>
  <c r="D18" i="27"/>
  <c r="AB16" i="27"/>
  <c r="AA16" i="27"/>
  <c r="Z16" i="27"/>
  <c r="O16" i="27" s="1"/>
  <c r="H17" i="27"/>
  <c r="D17" i="27"/>
  <c r="AB15" i="27"/>
  <c r="AA15" i="27"/>
  <c r="Z15" i="27"/>
  <c r="O15" i="27" s="1"/>
  <c r="H12" i="27"/>
  <c r="D12" i="27"/>
  <c r="AB14" i="27"/>
  <c r="AA14" i="27"/>
  <c r="Z14" i="27"/>
  <c r="O14" i="27" s="1"/>
  <c r="H15" i="27"/>
  <c r="D15" i="27"/>
  <c r="AB13" i="27"/>
  <c r="AA13" i="27"/>
  <c r="Z13" i="27"/>
  <c r="H20" i="27"/>
  <c r="N20" i="27" s="1"/>
  <c r="D20" i="27"/>
  <c r="AB12" i="27"/>
  <c r="AA12" i="27"/>
  <c r="Z12" i="27"/>
  <c r="O12" i="27" s="1"/>
  <c r="H19" i="27"/>
  <c r="D19" i="27"/>
  <c r="AB11" i="27"/>
  <c r="AA11" i="27"/>
  <c r="Z11" i="27"/>
  <c r="O11" i="27" s="1"/>
  <c r="H7" i="27"/>
  <c r="D7" i="27"/>
  <c r="AB10" i="27"/>
  <c r="AA10" i="27"/>
  <c r="Z10" i="27"/>
  <c r="O10" i="27" s="1"/>
  <c r="H8" i="27"/>
  <c r="D8" i="27"/>
  <c r="AB9" i="27"/>
  <c r="AA9" i="27"/>
  <c r="Z9" i="27"/>
  <c r="H14" i="27"/>
  <c r="N14" i="27" s="1"/>
  <c r="D14" i="27"/>
  <c r="AB8" i="27"/>
  <c r="AA8" i="27"/>
  <c r="Z8" i="27"/>
  <c r="O8" i="27" s="1"/>
  <c r="H10" i="27"/>
  <c r="D10" i="27"/>
  <c r="AB7" i="27"/>
  <c r="AA7" i="27"/>
  <c r="Z7" i="27"/>
  <c r="O7" i="27" s="1"/>
  <c r="H16" i="27"/>
  <c r="D16" i="27"/>
  <c r="D2" i="27"/>
  <c r="AB31" i="26"/>
  <c r="AA31" i="26"/>
  <c r="O31" i="26" s="1"/>
  <c r="Z31" i="26"/>
  <c r="H31" i="26"/>
  <c r="N31" i="26" s="1"/>
  <c r="D31" i="26"/>
  <c r="AB30" i="26"/>
  <c r="AA30" i="26"/>
  <c r="Z30" i="26"/>
  <c r="D30" i="26"/>
  <c r="AB29" i="26"/>
  <c r="AA29" i="26"/>
  <c r="Z29" i="26"/>
  <c r="D29" i="26"/>
  <c r="AB28" i="26"/>
  <c r="AA28" i="26"/>
  <c r="Z28" i="26"/>
  <c r="D28" i="26"/>
  <c r="AB27" i="26"/>
  <c r="AA27" i="26"/>
  <c r="Z27" i="26"/>
  <c r="H27" i="26"/>
  <c r="N27" i="26" s="1"/>
  <c r="D27" i="26"/>
  <c r="AB26" i="26"/>
  <c r="AA26" i="26"/>
  <c r="Z26" i="26"/>
  <c r="H26" i="26"/>
  <c r="D26" i="26"/>
  <c r="AB25" i="26"/>
  <c r="AA25" i="26"/>
  <c r="Z25" i="26"/>
  <c r="D25" i="26"/>
  <c r="AB24" i="26"/>
  <c r="AA24" i="26"/>
  <c r="Z24" i="26"/>
  <c r="AB23" i="26"/>
  <c r="AA23" i="26"/>
  <c r="Z23" i="26"/>
  <c r="AB22" i="26"/>
  <c r="AA22" i="26"/>
  <c r="Z22" i="26"/>
  <c r="AB21" i="26"/>
  <c r="AA21" i="26"/>
  <c r="Z21" i="26"/>
  <c r="AB20" i="26"/>
  <c r="AA20" i="26"/>
  <c r="O20" i="26" s="1"/>
  <c r="Z20" i="26"/>
  <c r="AB19" i="26"/>
  <c r="AA19" i="26"/>
  <c r="O19" i="26" s="1"/>
  <c r="Z19" i="26"/>
  <c r="AB18" i="26"/>
  <c r="AA18" i="26"/>
  <c r="O18" i="26" s="1"/>
  <c r="Z18" i="26"/>
  <c r="AB17" i="26"/>
  <c r="AA17" i="26"/>
  <c r="O17" i="26" s="1"/>
  <c r="Z17" i="26"/>
  <c r="AB16" i="26"/>
  <c r="AA16" i="26"/>
  <c r="O16" i="26" s="1"/>
  <c r="Z16" i="26"/>
  <c r="AB15" i="26"/>
  <c r="AA15" i="26"/>
  <c r="O15" i="26" s="1"/>
  <c r="Z15" i="26"/>
  <c r="AB14" i="26"/>
  <c r="AA14" i="26"/>
  <c r="O14" i="26" s="1"/>
  <c r="Z14" i="26"/>
  <c r="AB13" i="26"/>
  <c r="AA13" i="26"/>
  <c r="O13" i="26" s="1"/>
  <c r="Z13" i="26"/>
  <c r="AB12" i="26"/>
  <c r="AA12" i="26"/>
  <c r="O12" i="26" s="1"/>
  <c r="Z12" i="26"/>
  <c r="AB11" i="26"/>
  <c r="AA11" i="26"/>
  <c r="O11" i="26" s="1"/>
  <c r="Z11" i="26"/>
  <c r="AB10" i="26"/>
  <c r="AA10" i="26"/>
  <c r="O10" i="26" s="1"/>
  <c r="Z10" i="26"/>
  <c r="AB9" i="26"/>
  <c r="AA9" i="26"/>
  <c r="O9" i="26" s="1"/>
  <c r="Z9" i="26"/>
  <c r="AB8" i="26"/>
  <c r="AA8" i="26"/>
  <c r="O8" i="26" s="1"/>
  <c r="Z8" i="26"/>
  <c r="AB7" i="26"/>
  <c r="AA7" i="26"/>
  <c r="O7" i="26" s="1"/>
  <c r="Z7" i="26"/>
  <c r="D2" i="26"/>
  <c r="AC31" i="25"/>
  <c r="AB31" i="25"/>
  <c r="AA31" i="25"/>
  <c r="O31" i="25" s="1"/>
  <c r="H31" i="25"/>
  <c r="D31" i="25"/>
  <c r="AC30" i="25"/>
  <c r="AB30" i="25"/>
  <c r="AA30" i="25"/>
  <c r="D30" i="25"/>
  <c r="AC29" i="25"/>
  <c r="AB29" i="25"/>
  <c r="AA29" i="25"/>
  <c r="D29" i="25"/>
  <c r="AC28" i="25"/>
  <c r="AB28" i="25"/>
  <c r="AA28" i="25"/>
  <c r="D28" i="25"/>
  <c r="AC27" i="25"/>
  <c r="AB27" i="25"/>
  <c r="AA27" i="25"/>
  <c r="H27" i="25"/>
  <c r="N27" i="25" s="1"/>
  <c r="D27" i="25"/>
  <c r="AC26" i="25"/>
  <c r="AB26" i="25"/>
  <c r="AA26" i="25"/>
  <c r="O26" i="25" s="1"/>
  <c r="H26" i="25"/>
  <c r="D26" i="25"/>
  <c r="AC25" i="25"/>
  <c r="AB25" i="25"/>
  <c r="AA25" i="25"/>
  <c r="D25" i="25"/>
  <c r="AC24" i="25"/>
  <c r="AB24" i="25"/>
  <c r="AA24" i="25"/>
  <c r="AC23" i="25"/>
  <c r="AB23" i="25"/>
  <c r="AA23" i="25"/>
  <c r="AC22" i="25"/>
  <c r="AB22" i="25"/>
  <c r="AA22" i="25"/>
  <c r="O22" i="25" s="1"/>
  <c r="AC21" i="25"/>
  <c r="AB21" i="25"/>
  <c r="AA21" i="25"/>
  <c r="O21" i="25" s="1"/>
  <c r="D16" i="25"/>
  <c r="AC20" i="25"/>
  <c r="AB20" i="25"/>
  <c r="AA20" i="25"/>
  <c r="O20" i="25" s="1"/>
  <c r="H14" i="25"/>
  <c r="D14" i="25"/>
  <c r="AC19" i="25"/>
  <c r="AB19" i="25"/>
  <c r="AA19" i="25"/>
  <c r="O19" i="25" s="1"/>
  <c r="AC18" i="25"/>
  <c r="AB18" i="25"/>
  <c r="AA18" i="25"/>
  <c r="O18" i="25" s="1"/>
  <c r="H11" i="25"/>
  <c r="D11" i="25"/>
  <c r="AC17" i="25"/>
  <c r="AB17" i="25"/>
  <c r="AA17" i="25"/>
  <c r="O17" i="25" s="1"/>
  <c r="AC16" i="25"/>
  <c r="AB16" i="25"/>
  <c r="AA16" i="25"/>
  <c r="O16" i="25" s="1"/>
  <c r="H23" i="25"/>
  <c r="D23" i="25"/>
  <c r="AC15" i="25"/>
  <c r="AB15" i="25"/>
  <c r="AA15" i="25"/>
  <c r="O15" i="25" s="1"/>
  <c r="H15" i="25"/>
  <c r="D15" i="25"/>
  <c r="AC14" i="25"/>
  <c r="AB14" i="25"/>
  <c r="AA14" i="25"/>
  <c r="O14" i="25" s="1"/>
  <c r="D18" i="25"/>
  <c r="AC13" i="25"/>
  <c r="AB13" i="25"/>
  <c r="AA13" i="25"/>
  <c r="O13" i="25" s="1"/>
  <c r="H12" i="25"/>
  <c r="D12" i="25"/>
  <c r="AC12" i="25"/>
  <c r="AB12" i="25"/>
  <c r="AA12" i="25"/>
  <c r="O12" i="25" s="1"/>
  <c r="D10" i="25"/>
  <c r="AC11" i="25"/>
  <c r="AB11" i="25"/>
  <c r="AA11" i="25"/>
  <c r="O11" i="25" s="1"/>
  <c r="H9" i="25"/>
  <c r="D9" i="25"/>
  <c r="AC10" i="25"/>
  <c r="AB10" i="25"/>
  <c r="AA10" i="25"/>
  <c r="O10" i="25" s="1"/>
  <c r="H13" i="25"/>
  <c r="N14" i="25" s="1"/>
  <c r="D13" i="25"/>
  <c r="AC9" i="25"/>
  <c r="AB9" i="25"/>
  <c r="AA9" i="25"/>
  <c r="O9" i="25" s="1"/>
  <c r="H7" i="25"/>
  <c r="D7" i="25"/>
  <c r="AC8" i="25"/>
  <c r="AB8" i="25"/>
  <c r="AA8" i="25"/>
  <c r="O8" i="25" s="1"/>
  <c r="H8" i="25"/>
  <c r="D8" i="25"/>
  <c r="AC7" i="25"/>
  <c r="AB7" i="25"/>
  <c r="AA7" i="25"/>
  <c r="O7" i="25" s="1"/>
  <c r="H17" i="25"/>
  <c r="N9" i="25" s="1"/>
  <c r="D17" i="25"/>
  <c r="D2" i="25"/>
  <c r="AC26" i="24"/>
  <c r="AB26" i="24"/>
  <c r="AA26" i="24"/>
  <c r="AC25" i="24"/>
  <c r="AB25" i="24"/>
  <c r="AA25" i="24"/>
  <c r="AC24" i="24"/>
  <c r="AB24" i="24"/>
  <c r="AA24" i="24"/>
  <c r="AC23" i="24"/>
  <c r="AB23" i="24"/>
  <c r="AA23" i="24"/>
  <c r="AC22" i="24"/>
  <c r="AB22" i="24"/>
  <c r="AA22" i="24"/>
  <c r="AC21" i="24"/>
  <c r="AB21" i="24"/>
  <c r="AA21" i="24"/>
  <c r="AC20" i="24"/>
  <c r="AB20" i="24"/>
  <c r="O20" i="24" s="1"/>
  <c r="AA20" i="24"/>
  <c r="AC19" i="24"/>
  <c r="AB19" i="24"/>
  <c r="O19" i="24" s="1"/>
  <c r="AA19" i="24"/>
  <c r="AC18" i="24"/>
  <c r="AB18" i="24"/>
  <c r="O18" i="24" s="1"/>
  <c r="AA18" i="24"/>
  <c r="AC17" i="24"/>
  <c r="AB17" i="24"/>
  <c r="O17" i="24" s="1"/>
  <c r="AA17" i="24"/>
  <c r="AC16" i="24"/>
  <c r="AB16" i="24"/>
  <c r="O16" i="24" s="1"/>
  <c r="AA16" i="24"/>
  <c r="AC15" i="24"/>
  <c r="AB15" i="24"/>
  <c r="O15" i="24" s="1"/>
  <c r="AA15" i="24"/>
  <c r="AC14" i="24"/>
  <c r="AB14" i="24"/>
  <c r="O14" i="24" s="1"/>
  <c r="AA14" i="24"/>
  <c r="AC13" i="24"/>
  <c r="AB13" i="24"/>
  <c r="O13" i="24" s="1"/>
  <c r="AA13" i="24"/>
  <c r="AC12" i="24"/>
  <c r="AB12" i="24"/>
  <c r="O12" i="24" s="1"/>
  <c r="AA12" i="24"/>
  <c r="AC11" i="24"/>
  <c r="AB11" i="24"/>
  <c r="O11" i="24" s="1"/>
  <c r="AA11" i="24"/>
  <c r="AC10" i="24"/>
  <c r="AB10" i="24"/>
  <c r="O10" i="24" s="1"/>
  <c r="AA10" i="24"/>
  <c r="AC9" i="24"/>
  <c r="AB9" i="24"/>
  <c r="O9" i="24" s="1"/>
  <c r="AA9" i="24"/>
  <c r="D16" i="24"/>
  <c r="AC8" i="24"/>
  <c r="AB8" i="24"/>
  <c r="O8" i="24" s="1"/>
  <c r="AA8" i="24"/>
  <c r="D10" i="24"/>
  <c r="AC7" i="24"/>
  <c r="AB7" i="24"/>
  <c r="O7" i="24" s="1"/>
  <c r="AA7" i="24"/>
  <c r="D8" i="24"/>
  <c r="D2" i="24"/>
  <c r="AC31" i="23"/>
  <c r="AB31" i="23"/>
  <c r="O31" i="23" s="1"/>
  <c r="AA31" i="23"/>
  <c r="H31" i="23"/>
  <c r="D31" i="23"/>
  <c r="AC30" i="23"/>
  <c r="AB30" i="23"/>
  <c r="AA30" i="23"/>
  <c r="D30" i="23"/>
  <c r="AC29" i="23"/>
  <c r="AB29" i="23"/>
  <c r="AA29" i="23"/>
  <c r="D29" i="23"/>
  <c r="AC28" i="23"/>
  <c r="AB28" i="23"/>
  <c r="AA28" i="23"/>
  <c r="AC27" i="23"/>
  <c r="AB27" i="23"/>
  <c r="AA27" i="23"/>
  <c r="D27" i="23"/>
  <c r="AC26" i="23"/>
  <c r="AB26" i="23"/>
  <c r="AA26" i="23"/>
  <c r="D26" i="23"/>
  <c r="AC25" i="23"/>
  <c r="AB25" i="23"/>
  <c r="AA25" i="23"/>
  <c r="AC24" i="23"/>
  <c r="AB24" i="23"/>
  <c r="AA24" i="23"/>
  <c r="AC23" i="23"/>
  <c r="AB23" i="23"/>
  <c r="AA23" i="23"/>
  <c r="AC22" i="23"/>
  <c r="AB22" i="23"/>
  <c r="AA22" i="23"/>
  <c r="AC21" i="23"/>
  <c r="AB21" i="23"/>
  <c r="AA21" i="23"/>
  <c r="AC20" i="23"/>
  <c r="AB20" i="23"/>
  <c r="AA20" i="23"/>
  <c r="AC19" i="23"/>
  <c r="AB19" i="23"/>
  <c r="AA19" i="23"/>
  <c r="AC18" i="23"/>
  <c r="AB18" i="23"/>
  <c r="AA18" i="23"/>
  <c r="AC17" i="23"/>
  <c r="AB17" i="23"/>
  <c r="O17" i="23" s="1"/>
  <c r="AA17" i="23"/>
  <c r="AC16" i="23"/>
  <c r="AB16" i="23"/>
  <c r="O16" i="23" s="1"/>
  <c r="AA16" i="23"/>
  <c r="H10" i="23"/>
  <c r="D10" i="23"/>
  <c r="AC15" i="23"/>
  <c r="AB15" i="23"/>
  <c r="O15" i="23" s="1"/>
  <c r="AA15" i="23"/>
  <c r="D18" i="23"/>
  <c r="AC14" i="23"/>
  <c r="AB14" i="23"/>
  <c r="O14" i="23" s="1"/>
  <c r="AA14" i="23"/>
  <c r="H15" i="23"/>
  <c r="D15" i="23"/>
  <c r="AC13" i="23"/>
  <c r="AB13" i="23"/>
  <c r="O13" i="23" s="1"/>
  <c r="AA13" i="23"/>
  <c r="D21" i="23"/>
  <c r="AC12" i="23"/>
  <c r="AB12" i="23"/>
  <c r="O12" i="23" s="1"/>
  <c r="AA12" i="23"/>
  <c r="H7" i="23"/>
  <c r="D7" i="23"/>
  <c r="AC11" i="23"/>
  <c r="AB11" i="23"/>
  <c r="O11" i="23" s="1"/>
  <c r="AA11" i="23"/>
  <c r="H22" i="23"/>
  <c r="D22" i="23"/>
  <c r="AC10" i="23"/>
  <c r="AB10" i="23"/>
  <c r="O10" i="23" s="1"/>
  <c r="AA10" i="23"/>
  <c r="H9" i="23"/>
  <c r="D9" i="23"/>
  <c r="AC9" i="23"/>
  <c r="AB9" i="23"/>
  <c r="O9" i="23" s="1"/>
  <c r="AA9" i="23"/>
  <c r="D19" i="23"/>
  <c r="AC8" i="23"/>
  <c r="AB8" i="23"/>
  <c r="O8" i="23" s="1"/>
  <c r="AA8" i="23"/>
  <c r="H17" i="23"/>
  <c r="D17" i="23"/>
  <c r="AC7" i="23"/>
  <c r="AB7" i="23"/>
  <c r="O7" i="23" s="1"/>
  <c r="AA7" i="23"/>
  <c r="H16" i="23"/>
  <c r="N16" i="23" s="1"/>
  <c r="D16" i="23"/>
  <c r="D2" i="23"/>
  <c r="O6" i="13"/>
  <c r="N3" i="13"/>
  <c r="N10" i="13" s="1"/>
  <c r="AF37" i="19"/>
  <c r="AE37" i="19"/>
  <c r="AD37" i="19"/>
  <c r="AC37" i="19"/>
  <c r="AB37" i="19"/>
  <c r="U11" i="19"/>
  <c r="U15" i="19"/>
  <c r="U22" i="19"/>
  <c r="U25" i="19"/>
  <c r="U14" i="19"/>
  <c r="U18" i="19"/>
  <c r="U10" i="19"/>
  <c r="U13" i="19"/>
  <c r="U7" i="19"/>
  <c r="U12" i="19"/>
  <c r="U9" i="19"/>
  <c r="U21" i="19"/>
  <c r="U16" i="19"/>
  <c r="U28" i="19"/>
  <c r="U20" i="19"/>
  <c r="U29" i="19"/>
  <c r="U33" i="19"/>
  <c r="U17" i="19"/>
  <c r="U23" i="19"/>
  <c r="U26" i="19"/>
  <c r="U27" i="19"/>
  <c r="U32" i="19"/>
  <c r="U8" i="19"/>
  <c r="H31" i="13"/>
  <c r="H27" i="13"/>
  <c r="AJ10" i="2"/>
  <c r="P12" i="20" s="1"/>
  <c r="N5" i="19"/>
  <c r="E37" i="19"/>
  <c r="AJ5" i="2"/>
  <c r="P7" i="20" s="1"/>
  <c r="AJ6" i="2"/>
  <c r="P8" i="20" s="1"/>
  <c r="AJ7" i="2"/>
  <c r="P9" i="20" s="1"/>
  <c r="AJ8" i="2"/>
  <c r="P10" i="20" s="1"/>
  <c r="AJ9" i="2"/>
  <c r="P11" i="20" s="1"/>
  <c r="AJ11" i="2"/>
  <c r="P13" i="20" s="1"/>
  <c r="AJ12" i="2"/>
  <c r="P14" i="20" s="1"/>
  <c r="AJ13" i="2"/>
  <c r="P15" i="20" s="1"/>
  <c r="AJ14" i="2"/>
  <c r="P16" i="20" s="1"/>
  <c r="AJ15" i="2"/>
  <c r="P17" i="20" s="1"/>
  <c r="AJ16" i="2"/>
  <c r="P18" i="20" s="1"/>
  <c r="AJ4" i="2"/>
  <c r="P6" i="20" s="1"/>
  <c r="AI5" i="2"/>
  <c r="D4" i="20" s="1"/>
  <c r="AI6" i="2"/>
  <c r="F4" i="20"/>
  <c r="AI7" i="2"/>
  <c r="H4" i="20" s="1"/>
  <c r="AI8" i="2"/>
  <c r="J4" i="20" s="1"/>
  <c r="AI9" i="2"/>
  <c r="L4" i="20" s="1"/>
  <c r="AI10" i="2"/>
  <c r="B19" i="20" s="1"/>
  <c r="AI11" i="2"/>
  <c r="D19" i="20" s="1"/>
  <c r="AI12" i="2"/>
  <c r="AI13" i="2"/>
  <c r="F19" i="20" s="1"/>
  <c r="AI14" i="2"/>
  <c r="H19" i="20" s="1"/>
  <c r="AI15" i="2"/>
  <c r="J19" i="20" s="1"/>
  <c r="AI16" i="2"/>
  <c r="L19" i="20" s="1"/>
  <c r="AI4" i="2"/>
  <c r="B4" i="20" s="1"/>
  <c r="G37" i="19"/>
  <c r="R40" i="19"/>
  <c r="R39" i="19"/>
  <c r="I37" i="19"/>
  <c r="L20" i="20"/>
  <c r="J20" i="20"/>
  <c r="H20" i="20"/>
  <c r="F20" i="20"/>
  <c r="D20" i="20"/>
  <c r="B20" i="20"/>
  <c r="J5" i="20"/>
  <c r="H5" i="20"/>
  <c r="F5" i="20"/>
  <c r="D5" i="20"/>
  <c r="D14" i="19"/>
  <c r="D23" i="19"/>
  <c r="D19" i="19"/>
  <c r="D22" i="19"/>
  <c r="D32" i="19"/>
  <c r="D33" i="19"/>
  <c r="D21" i="19"/>
  <c r="D10" i="19"/>
  <c r="D12" i="19"/>
  <c r="D7" i="19"/>
  <c r="D30" i="19"/>
  <c r="D28" i="19"/>
  <c r="D16" i="19"/>
  <c r="D9" i="19"/>
  <c r="D18" i="19"/>
  <c r="D8" i="19"/>
  <c r="D26" i="19"/>
  <c r="D31" i="19"/>
  <c r="D24" i="19"/>
  <c r="D17" i="19"/>
  <c r="AB31" i="13"/>
  <c r="AA31" i="13"/>
  <c r="Z31" i="13"/>
  <c r="D31" i="13"/>
  <c r="AB30" i="13"/>
  <c r="AA30" i="13"/>
  <c r="Z30" i="13"/>
  <c r="D30" i="13"/>
  <c r="AB29" i="13"/>
  <c r="AA29" i="13"/>
  <c r="Z29" i="13"/>
  <c r="D29" i="13"/>
  <c r="AB28" i="13"/>
  <c r="AA28" i="13"/>
  <c r="Z28" i="13"/>
  <c r="D28" i="13"/>
  <c r="AB27" i="13"/>
  <c r="AA27" i="13"/>
  <c r="Z27" i="13"/>
  <c r="D27" i="13"/>
  <c r="AB26" i="13"/>
  <c r="AA26" i="13"/>
  <c r="Z26" i="13"/>
  <c r="H26" i="13"/>
  <c r="D26" i="13"/>
  <c r="AB25" i="13"/>
  <c r="AA25" i="13"/>
  <c r="Z25" i="13"/>
  <c r="D25" i="13"/>
  <c r="AB24" i="13"/>
  <c r="AA24" i="13"/>
  <c r="Z24" i="13"/>
  <c r="AB23" i="13"/>
  <c r="AA23" i="13"/>
  <c r="Z23" i="13"/>
  <c r="AB22" i="13"/>
  <c r="AA22" i="13"/>
  <c r="Z22" i="13"/>
  <c r="AB21" i="13"/>
  <c r="AA21" i="13"/>
  <c r="Z21" i="13"/>
  <c r="AB20" i="13"/>
  <c r="AA20" i="13"/>
  <c r="Z20" i="13"/>
  <c r="AB19" i="13"/>
  <c r="AA19" i="13"/>
  <c r="Z19" i="13"/>
  <c r="AB18" i="13"/>
  <c r="AA18" i="13"/>
  <c r="Z18" i="13"/>
  <c r="AB17" i="13"/>
  <c r="AA17" i="13"/>
  <c r="Z17" i="13"/>
  <c r="AB16" i="13"/>
  <c r="AA16" i="13"/>
  <c r="Z16" i="13"/>
  <c r="AB15" i="13"/>
  <c r="AA15" i="13"/>
  <c r="Z15" i="13"/>
  <c r="AB14" i="13"/>
  <c r="AA14" i="13"/>
  <c r="Z14" i="13"/>
  <c r="AB13" i="13"/>
  <c r="AA13" i="13"/>
  <c r="Z13" i="13"/>
  <c r="AB12" i="13"/>
  <c r="AA12" i="13"/>
  <c r="Z12" i="13"/>
  <c r="AB11" i="13"/>
  <c r="AA11" i="13"/>
  <c r="Z11" i="13"/>
  <c r="AB10" i="13"/>
  <c r="AA10" i="13"/>
  <c r="Z10" i="13"/>
  <c r="AB9" i="13"/>
  <c r="AA9" i="13"/>
  <c r="Z9" i="13"/>
  <c r="AB8" i="13"/>
  <c r="AA8" i="13"/>
  <c r="Z8" i="13"/>
  <c r="AB7" i="13"/>
  <c r="AA7" i="13"/>
  <c r="Z7" i="13"/>
  <c r="D2" i="13"/>
  <c r="H37" i="19"/>
  <c r="K9" i="19"/>
  <c r="N23" i="23"/>
  <c r="O31" i="28"/>
  <c r="O13" i="27"/>
  <c r="O9" i="27"/>
  <c r="N22" i="24"/>
  <c r="N26" i="24"/>
  <c r="N30" i="24"/>
  <c r="N24" i="24"/>
  <c r="N23" i="25"/>
  <c r="N29" i="24"/>
  <c r="N15" i="24"/>
  <c r="N16" i="24"/>
  <c r="N8" i="24"/>
  <c r="N19" i="24"/>
  <c r="N12" i="25"/>
  <c r="E19" i="27" l="1"/>
  <c r="I21" i="27"/>
  <c r="E20" i="24"/>
  <c r="I16" i="26"/>
  <c r="K16" i="26" s="1"/>
  <c r="L16" i="26" s="1"/>
  <c r="E18" i="27"/>
  <c r="E11" i="27"/>
  <c r="E14" i="27"/>
  <c r="E22" i="27"/>
  <c r="K14" i="26"/>
  <c r="I9" i="27"/>
  <c r="K9" i="27" s="1"/>
  <c r="I17" i="27"/>
  <c r="K17" i="27" s="1"/>
  <c r="I18" i="27"/>
  <c r="K18" i="27" s="1"/>
  <c r="I18" i="26"/>
  <c r="K18" i="26" s="1"/>
  <c r="I10" i="27"/>
  <c r="K10" i="27" s="1"/>
  <c r="I22" i="27"/>
  <c r="N19" i="27"/>
  <c r="E9" i="27"/>
  <c r="E17" i="27"/>
  <c r="E20" i="27"/>
  <c r="E15" i="27"/>
  <c r="I16" i="27"/>
  <c r="K16" i="27" s="1"/>
  <c r="E12" i="27"/>
  <c r="E8" i="27"/>
  <c r="K26" i="25"/>
  <c r="K21" i="26"/>
  <c r="K27" i="26"/>
  <c r="K27" i="23"/>
  <c r="I14" i="25"/>
  <c r="K14" i="25" s="1"/>
  <c r="E16" i="26"/>
  <c r="K13" i="26"/>
  <c r="E18" i="26"/>
  <c r="I17" i="26"/>
  <c r="K17" i="26" s="1"/>
  <c r="K20" i="26"/>
  <c r="M20" i="26" s="1"/>
  <c r="K19" i="26"/>
  <c r="K11" i="26"/>
  <c r="K15" i="26"/>
  <c r="K8" i="26"/>
  <c r="K12" i="26"/>
  <c r="K10" i="26"/>
  <c r="K9" i="26"/>
  <c r="N26" i="23"/>
  <c r="N27" i="27"/>
  <c r="N31" i="27"/>
  <c r="N16" i="27"/>
  <c r="N13" i="27"/>
  <c r="N7" i="27"/>
  <c r="N12" i="27"/>
  <c r="E15" i="13"/>
  <c r="E10" i="25"/>
  <c r="I11" i="25"/>
  <c r="K11" i="25" s="1"/>
  <c r="I15" i="25"/>
  <c r="K15" i="25" s="1"/>
  <c r="K27" i="27"/>
  <c r="N15" i="25"/>
  <c r="N10" i="27"/>
  <c r="E14" i="25"/>
  <c r="K27" i="25"/>
  <c r="N15" i="27"/>
  <c r="O9" i="13"/>
  <c r="N11" i="27"/>
  <c r="K25" i="23"/>
  <c r="E12" i="25"/>
  <c r="I10" i="25"/>
  <c r="K10" i="25" s="1"/>
  <c r="E9" i="25"/>
  <c r="E13" i="25"/>
  <c r="I12" i="25"/>
  <c r="K12" i="25" s="1"/>
  <c r="N13" i="25"/>
  <c r="N11" i="25"/>
  <c r="E11" i="25"/>
  <c r="E15" i="25"/>
  <c r="I9" i="25"/>
  <c r="K9" i="25" s="1"/>
  <c r="I13" i="25"/>
  <c r="K13" i="25" s="1"/>
  <c r="I25" i="24"/>
  <c r="K25" i="24" s="1"/>
  <c r="I29" i="24"/>
  <c r="K29" i="24" s="1"/>
  <c r="O14" i="13"/>
  <c r="O22" i="13"/>
  <c r="E8" i="24"/>
  <c r="I24" i="24"/>
  <c r="K24" i="24" s="1"/>
  <c r="I28" i="24"/>
  <c r="K28" i="24" s="1"/>
  <c r="N27" i="28"/>
  <c r="E9" i="23"/>
  <c r="E23" i="24"/>
  <c r="E22" i="24"/>
  <c r="I7" i="24"/>
  <c r="K7" i="24" s="1"/>
  <c r="I8" i="24"/>
  <c r="K8" i="24" s="1"/>
  <c r="N10" i="24"/>
  <c r="N14" i="24"/>
  <c r="I20" i="24"/>
  <c r="K20" i="24" s="1"/>
  <c r="I19" i="24"/>
  <c r="K19" i="24" s="1"/>
  <c r="E18" i="24"/>
  <c r="I18" i="24"/>
  <c r="K18" i="24" s="1"/>
  <c r="E15" i="24"/>
  <c r="I31" i="24"/>
  <c r="K31" i="24" s="1"/>
  <c r="O7" i="13"/>
  <c r="O16" i="13"/>
  <c r="O20" i="13"/>
  <c r="K16" i="25"/>
  <c r="O31" i="13"/>
  <c r="L5" i="20"/>
  <c r="O11" i="13"/>
  <c r="O15" i="13"/>
  <c r="O19" i="13"/>
  <c r="O10" i="13"/>
  <c r="N26" i="25"/>
  <c r="K31" i="27"/>
  <c r="N7" i="28"/>
  <c r="N12" i="24"/>
  <c r="N7" i="23"/>
  <c r="N8" i="23"/>
  <c r="K31" i="23"/>
  <c r="K8" i="25"/>
  <c r="K23" i="25"/>
  <c r="I10" i="13"/>
  <c r="K10" i="13" s="1"/>
  <c r="E17" i="23"/>
  <c r="I15" i="13"/>
  <c r="K15" i="13" s="1"/>
  <c r="K23" i="24"/>
  <c r="I8" i="27"/>
  <c r="K8" i="27" s="1"/>
  <c r="I18" i="13"/>
  <c r="K18" i="13" s="1"/>
  <c r="I12" i="13"/>
  <c r="K12" i="13" s="1"/>
  <c r="E7" i="13"/>
  <c r="E20" i="13"/>
  <c r="E9" i="13"/>
  <c r="I21" i="13"/>
  <c r="K21" i="13" s="1"/>
  <c r="E10" i="13"/>
  <c r="I19" i="13"/>
  <c r="K19" i="13" s="1"/>
  <c r="N8" i="27"/>
  <c r="I20" i="27"/>
  <c r="K20" i="27" s="1"/>
  <c r="I14" i="27"/>
  <c r="K14" i="27" s="1"/>
  <c r="K26" i="26"/>
  <c r="N26" i="26"/>
  <c r="K23" i="23"/>
  <c r="E19" i="13"/>
  <c r="I9" i="13"/>
  <c r="K9" i="13" s="1"/>
  <c r="N11" i="13"/>
  <c r="E11" i="13"/>
  <c r="N17" i="13"/>
  <c r="E17" i="13"/>
  <c r="I14" i="13"/>
  <c r="K14" i="13" s="1"/>
  <c r="E18" i="13"/>
  <c r="I11" i="13"/>
  <c r="K11" i="13" s="1"/>
  <c r="I22" i="13"/>
  <c r="K22" i="13" s="1"/>
  <c r="E16" i="13"/>
  <c r="E8" i="13"/>
  <c r="I7" i="13"/>
  <c r="K7" i="13" s="1"/>
  <c r="I20" i="13"/>
  <c r="K20" i="13" s="1"/>
  <c r="E21" i="13"/>
  <c r="E22" i="13"/>
  <c r="I8" i="13"/>
  <c r="K8" i="13" s="1"/>
  <c r="I16" i="13"/>
  <c r="K16" i="13" s="1"/>
  <c r="E14" i="13"/>
  <c r="I17" i="13"/>
  <c r="K17" i="13" s="1"/>
  <c r="K31" i="25"/>
  <c r="N31" i="28"/>
  <c r="N8" i="28"/>
  <c r="I17" i="23"/>
  <c r="E7" i="27"/>
  <c r="I19" i="27"/>
  <c r="K19" i="27" s="1"/>
  <c r="I26" i="27"/>
  <c r="K26" i="27" s="1"/>
  <c r="N17" i="25"/>
  <c r="N31" i="23"/>
  <c r="N12" i="23"/>
  <c r="N18" i="27"/>
  <c r="N8" i="25"/>
  <c r="I16" i="24"/>
  <c r="K16" i="24" s="1"/>
  <c r="N8" i="13"/>
  <c r="N15" i="28"/>
  <c r="N9" i="28"/>
  <c r="N11" i="28"/>
  <c r="N12" i="28"/>
  <c r="N10" i="28"/>
  <c r="N31" i="25"/>
  <c r="N25" i="23"/>
  <c r="N14" i="28"/>
  <c r="K27" i="28"/>
  <c r="N13" i="28"/>
  <c r="N27" i="13"/>
  <c r="K17" i="25"/>
  <c r="N16" i="25"/>
  <c r="N16" i="13"/>
  <c r="N22" i="13"/>
  <c r="N18" i="13"/>
  <c r="E19" i="24"/>
  <c r="E21" i="27"/>
  <c r="I27" i="24"/>
  <c r="K27" i="24" s="1"/>
  <c r="I13" i="27"/>
  <c r="K13" i="27" s="1"/>
  <c r="O12" i="13"/>
  <c r="N7" i="13"/>
  <c r="K27" i="13"/>
  <c r="O21" i="13"/>
  <c r="K26" i="13"/>
  <c r="N12" i="13"/>
  <c r="N20" i="13"/>
  <c r="O8" i="13"/>
  <c r="O18" i="13"/>
  <c r="O13" i="13"/>
  <c r="O17" i="13"/>
  <c r="O26" i="13"/>
  <c r="N14" i="13"/>
  <c r="N9" i="13"/>
  <c r="N15" i="13"/>
  <c r="N19" i="13"/>
  <c r="N21" i="13"/>
  <c r="N26" i="13"/>
  <c r="N13" i="13"/>
  <c r="N9" i="27"/>
  <c r="I7" i="27"/>
  <c r="K7" i="27" s="1"/>
  <c r="I11" i="27"/>
  <c r="K11" i="27" s="1"/>
  <c r="E10" i="27"/>
  <c r="I12" i="27"/>
  <c r="K12" i="27" s="1"/>
  <c r="I15" i="27"/>
  <c r="K15" i="27" s="1"/>
  <c r="N17" i="27"/>
  <c r="E14" i="24"/>
  <c r="N13" i="24"/>
  <c r="I17" i="24"/>
  <c r="K17" i="24" s="1"/>
  <c r="E17" i="24"/>
  <c r="I10" i="24"/>
  <c r="K10" i="24" s="1"/>
  <c r="E16" i="24"/>
  <c r="E10" i="24"/>
  <c r="I9" i="24"/>
  <c r="K9" i="24" s="1"/>
  <c r="E11" i="24"/>
  <c r="K8" i="28"/>
  <c r="K12" i="28"/>
  <c r="K16" i="28"/>
  <c r="N11" i="24"/>
  <c r="K9" i="28"/>
  <c r="K13" i="28"/>
  <c r="K31" i="28"/>
  <c r="K10" i="28"/>
  <c r="K14" i="28"/>
  <c r="K7" i="28"/>
  <c r="K11" i="28"/>
  <c r="K15" i="28"/>
  <c r="E12" i="24"/>
  <c r="K13" i="24"/>
  <c r="E7" i="24"/>
  <c r="E9" i="24"/>
  <c r="I15" i="24"/>
  <c r="K15" i="24" s="1"/>
  <c r="K12" i="24"/>
  <c r="I11" i="24"/>
  <c r="K11" i="24" s="1"/>
  <c r="I14" i="24"/>
  <c r="K14" i="24" s="1"/>
  <c r="N10" i="25"/>
  <c r="K30" i="24"/>
  <c r="K26" i="24"/>
  <c r="K22" i="24"/>
  <c r="K31" i="13"/>
  <c r="N7" i="25"/>
  <c r="K7" i="25"/>
  <c r="M22" i="25" s="1"/>
  <c r="N31" i="13"/>
  <c r="K31" i="26"/>
  <c r="K22" i="26"/>
  <c r="N7" i="24"/>
  <c r="N9" i="24"/>
  <c r="N31" i="24"/>
  <c r="K23" i="26"/>
  <c r="K24" i="23"/>
  <c r="I10" i="23"/>
  <c r="E10" i="23"/>
  <c r="N22" i="23"/>
  <c r="N11" i="23"/>
  <c r="N15" i="23"/>
  <c r="I7" i="23"/>
  <c r="I9" i="23"/>
  <c r="I15" i="23"/>
  <c r="I16" i="23"/>
  <c r="E12" i="23"/>
  <c r="E15" i="23"/>
  <c r="N17" i="23"/>
  <c r="N13" i="23"/>
  <c r="N14" i="23"/>
  <c r="E22" i="23"/>
  <c r="I22" i="23"/>
  <c r="I8" i="23"/>
  <c r="E16" i="23"/>
  <c r="N9" i="23"/>
  <c r="E19" i="23"/>
  <c r="E13" i="23"/>
  <c r="N10" i="23"/>
  <c r="I11" i="23"/>
  <c r="I13" i="23"/>
  <c r="E7" i="23"/>
  <c r="E11" i="23"/>
  <c r="E18" i="23"/>
  <c r="E20" i="23"/>
  <c r="I12" i="23"/>
  <c r="E8" i="23"/>
  <c r="L22" i="25" l="1"/>
  <c r="M19" i="26"/>
  <c r="M10" i="26"/>
  <c r="M21" i="26"/>
  <c r="L9" i="26"/>
  <c r="M11" i="26"/>
  <c r="L12" i="26"/>
  <c r="L15" i="26"/>
  <c r="M17" i="26"/>
  <c r="L20" i="26"/>
  <c r="M9" i="26"/>
  <c r="L18" i="26"/>
  <c r="M12" i="26"/>
  <c r="M15" i="26"/>
  <c r="L13" i="26"/>
  <c r="L11" i="26"/>
  <c r="M18" i="26"/>
  <c r="L8" i="26"/>
  <c r="L14" i="26"/>
  <c r="M7" i="26"/>
  <c r="L21" i="26"/>
  <c r="M13" i="26"/>
  <c r="L19" i="26"/>
  <c r="M16" i="26"/>
  <c r="M8" i="26"/>
  <c r="M14" i="26"/>
  <c r="L17" i="26"/>
  <c r="L10" i="26"/>
  <c r="L20" i="25"/>
  <c r="M19" i="25"/>
  <c r="M21" i="25"/>
  <c r="M18" i="25"/>
  <c r="L19" i="25"/>
  <c r="L21" i="25"/>
  <c r="L18" i="25"/>
  <c r="M20" i="25"/>
  <c r="L10" i="13"/>
  <c r="M10" i="13"/>
  <c r="L19" i="13"/>
  <c r="L27" i="13"/>
  <c r="L7" i="13"/>
  <c r="M7" i="13"/>
  <c r="M26" i="13"/>
  <c r="L20" i="13"/>
  <c r="M27" i="13"/>
  <c r="M20" i="13"/>
  <c r="L13" i="13"/>
  <c r="M9" i="13"/>
  <c r="M21" i="13"/>
  <c r="M19" i="13"/>
  <c r="L9" i="13"/>
  <c r="L21" i="13"/>
  <c r="M13" i="13"/>
  <c r="M14" i="13"/>
  <c r="L14" i="13"/>
  <c r="M12" i="13"/>
  <c r="L12" i="13"/>
  <c r="L17" i="13"/>
  <c r="M17" i="13"/>
  <c r="M16" i="13"/>
  <c r="L16" i="13"/>
  <c r="L26" i="13"/>
  <c r="M19" i="27"/>
  <c r="M15" i="27"/>
  <c r="L15" i="27"/>
  <c r="M15" i="28"/>
  <c r="L15" i="28"/>
  <c r="L9" i="27"/>
  <c r="M9" i="27"/>
  <c r="L14" i="27"/>
  <c r="M14" i="27"/>
  <c r="M8" i="27"/>
  <c r="L8" i="27"/>
  <c r="M13" i="28"/>
  <c r="L13" i="28"/>
  <c r="M27" i="26"/>
  <c r="M26" i="26"/>
  <c r="L27" i="26"/>
  <c r="L26" i="26"/>
  <c r="M11" i="27"/>
  <c r="M18" i="27"/>
  <c r="M7" i="27"/>
  <c r="M10" i="27"/>
  <c r="L31" i="27"/>
  <c r="L27" i="27"/>
  <c r="L12" i="27"/>
  <c r="L18" i="27"/>
  <c r="M17" i="27"/>
  <c r="L10" i="27"/>
  <c r="M12" i="27"/>
  <c r="L7" i="27"/>
  <c r="M31" i="27"/>
  <c r="M16" i="27"/>
  <c r="L17" i="27"/>
  <c r="M27" i="27"/>
  <c r="L16" i="27"/>
  <c r="L11" i="27"/>
  <c r="L13" i="27"/>
  <c r="M13" i="27"/>
  <c r="M9" i="28"/>
  <c r="L9" i="28"/>
  <c r="M16" i="28"/>
  <c r="L16" i="28"/>
  <c r="L11" i="28"/>
  <c r="M11" i="28"/>
  <c r="L14" i="28"/>
  <c r="M14" i="28"/>
  <c r="L19" i="27"/>
  <c r="M7" i="28"/>
  <c r="L7" i="28"/>
  <c r="M27" i="28"/>
  <c r="L27" i="28"/>
  <c r="M10" i="28"/>
  <c r="L10" i="28"/>
  <c r="M12" i="28"/>
  <c r="L12" i="28"/>
  <c r="L26" i="27"/>
  <c r="M26" i="27"/>
  <c r="L20" i="27"/>
  <c r="M20" i="27"/>
  <c r="L31" i="28"/>
  <c r="M31" i="28"/>
  <c r="L8" i="28"/>
  <c r="M8" i="28"/>
  <c r="L23" i="24"/>
  <c r="M23" i="24"/>
  <c r="L9" i="24"/>
  <c r="M9" i="24"/>
  <c r="L22" i="26"/>
  <c r="M22" i="26"/>
  <c r="L18" i="13"/>
  <c r="M18" i="13"/>
  <c r="M27" i="24"/>
  <c r="L27" i="24"/>
  <c r="L8" i="13"/>
  <c r="M8" i="13"/>
  <c r="M15" i="24"/>
  <c r="L15" i="24"/>
  <c r="M31" i="13"/>
  <c r="L31" i="13"/>
  <c r="L10" i="24"/>
  <c r="M10" i="24"/>
  <c r="M11" i="13"/>
  <c r="L11" i="13"/>
  <c r="L10" i="25"/>
  <c r="M10" i="25"/>
  <c r="M19" i="24"/>
  <c r="L19" i="24"/>
  <c r="M28" i="24"/>
  <c r="L28" i="24"/>
  <c r="L13" i="24"/>
  <c r="M13" i="24"/>
  <c r="M20" i="24"/>
  <c r="L20" i="24"/>
  <c r="M22" i="13"/>
  <c r="L22" i="13"/>
  <c r="M31" i="26"/>
  <c r="L31" i="26"/>
  <c r="M7" i="24"/>
  <c r="L7" i="24"/>
  <c r="L8" i="24"/>
  <c r="M8" i="24"/>
  <c r="M22" i="24"/>
  <c r="L22" i="24"/>
  <c r="L11" i="24"/>
  <c r="M11" i="24"/>
  <c r="L31" i="24"/>
  <c r="M31" i="24"/>
  <c r="L17" i="24"/>
  <c r="M17" i="24"/>
  <c r="L14" i="24"/>
  <c r="M14" i="24"/>
  <c r="M24" i="24"/>
  <c r="L24" i="24"/>
  <c r="L7" i="25"/>
  <c r="M14" i="25"/>
  <c r="M12" i="25"/>
  <c r="M15" i="25"/>
  <c r="M26" i="25"/>
  <c r="M16" i="25"/>
  <c r="L31" i="25"/>
  <c r="L27" i="25"/>
  <c r="L13" i="25"/>
  <c r="L15" i="25"/>
  <c r="L26" i="25"/>
  <c r="M8" i="25"/>
  <c r="M23" i="25"/>
  <c r="L17" i="25"/>
  <c r="M7" i="25"/>
  <c r="M17" i="25"/>
  <c r="L23" i="25"/>
  <c r="L9" i="25"/>
  <c r="L8" i="25"/>
  <c r="M31" i="25"/>
  <c r="M13" i="25"/>
  <c r="L11" i="25"/>
  <c r="L14" i="25"/>
  <c r="M11" i="25"/>
  <c r="L12" i="25"/>
  <c r="L16" i="25"/>
  <c r="M9" i="25"/>
  <c r="M27" i="25"/>
  <c r="L18" i="24"/>
  <c r="M18" i="24"/>
  <c r="M26" i="24"/>
  <c r="L26" i="24"/>
  <c r="M23" i="26"/>
  <c r="L23" i="26"/>
  <c r="L12" i="24"/>
  <c r="M12" i="24"/>
  <c r="L25" i="24"/>
  <c r="M25" i="24"/>
  <c r="M29" i="24"/>
  <c r="L29" i="24"/>
  <c r="M16" i="24"/>
  <c r="L16" i="24"/>
  <c r="M15" i="13"/>
  <c r="L15" i="13"/>
  <c r="L30" i="24"/>
  <c r="M30" i="24"/>
  <c r="K12" i="23"/>
  <c r="K9" i="23"/>
  <c r="K14" i="23"/>
  <c r="K10" i="23"/>
  <c r="K17" i="23"/>
  <c r="K8" i="23"/>
  <c r="K11" i="23"/>
  <c r="K7" i="23"/>
  <c r="K15" i="23"/>
  <c r="K16" i="23"/>
  <c r="K22" i="23"/>
  <c r="K13" i="23"/>
  <c r="M14" i="23" l="1"/>
  <c r="M31" i="23"/>
  <c r="L15" i="23"/>
  <c r="M8" i="23"/>
  <c r="M22" i="23"/>
  <c r="M17" i="23"/>
  <c r="L16" i="23"/>
  <c r="L14" i="23"/>
  <c r="M23" i="23"/>
  <c r="L24" i="23"/>
  <c r="L31" i="23"/>
  <c r="L22" i="23"/>
  <c r="L11" i="23"/>
  <c r="L26" i="23"/>
  <c r="M7" i="23"/>
  <c r="L7" i="23"/>
  <c r="L8" i="23"/>
  <c r="L27" i="23"/>
  <c r="M27" i="23"/>
  <c r="L17" i="23"/>
  <c r="M15" i="23"/>
  <c r="L25" i="23"/>
  <c r="L10" i="23"/>
  <c r="M10" i="23"/>
  <c r="M9" i="23"/>
  <c r="M16" i="23"/>
  <c r="M11" i="23"/>
  <c r="L9" i="23"/>
  <c r="M26" i="23"/>
  <c r="M12" i="23"/>
  <c r="L12" i="23"/>
  <c r="M24" i="23"/>
  <c r="L23" i="23"/>
  <c r="M25" i="23"/>
  <c r="M13" i="23"/>
  <c r="L13" i="23"/>
</calcChain>
</file>

<file path=xl/sharedStrings.xml><?xml version="1.0" encoding="utf-8"?>
<sst xmlns="http://schemas.openxmlformats.org/spreadsheetml/2006/main" count="1185" uniqueCount="465">
  <si>
    <t>参加数</t>
  </si>
  <si>
    <t xml:space="preserve"> 艇 </t>
  </si>
  <si>
    <t>ＴＡのリスト（参照用）</t>
    <rPh sb="7" eb="10">
      <t>サンショウヨウ</t>
    </rPh>
    <phoneticPr fontId="4"/>
  </si>
  <si>
    <t>順位</t>
  </si>
  <si>
    <t>SAIL</t>
  </si>
  <si>
    <t>艇　　名</t>
  </si>
  <si>
    <t>R</t>
  </si>
  <si>
    <t>着順</t>
  </si>
  <si>
    <t>着時間</t>
  </si>
  <si>
    <t>ET</t>
  </si>
  <si>
    <t>TA</t>
    <phoneticPr fontId="4"/>
  </si>
  <si>
    <t>PN</t>
  </si>
  <si>
    <t>ＣＴ</t>
  </si>
  <si>
    <t>得点</t>
  </si>
  <si>
    <t>NO.</t>
  </si>
  <si>
    <t xml:space="preserve">m </t>
  </si>
  <si>
    <t>H：M：S</t>
  </si>
  <si>
    <t xml:space="preserve">S </t>
  </si>
  <si>
    <t xml:space="preserve">% </t>
  </si>
  <si>
    <t xml:space="preserve">Kt </t>
  </si>
  <si>
    <t>Ⅰ</t>
    <phoneticPr fontId="4"/>
  </si>
  <si>
    <t>Ⅲ</t>
    <phoneticPr fontId="4"/>
  </si>
  <si>
    <t>Ⅱ</t>
    <phoneticPr fontId="4"/>
  </si>
  <si>
    <t>各艇データ</t>
    <rPh sb="0" eb="1">
      <t>カク</t>
    </rPh>
    <rPh sb="1" eb="2">
      <t>テイ</t>
    </rPh>
    <phoneticPr fontId="4"/>
  </si>
  <si>
    <t>SAIL No.</t>
    <phoneticPr fontId="4"/>
  </si>
  <si>
    <t>ふるたか</t>
  </si>
  <si>
    <t>さがみ</t>
  </si>
  <si>
    <t>ノアノア</t>
  </si>
  <si>
    <t>サ－モン4</t>
  </si>
  <si>
    <t>はやとり</t>
  </si>
  <si>
    <t>かまくら</t>
  </si>
  <si>
    <t>飛車角</t>
  </si>
  <si>
    <t>八丈</t>
  </si>
  <si>
    <t>Ｋ７</t>
  </si>
  <si>
    <t>チルデ</t>
  </si>
  <si>
    <t>波勝</t>
  </si>
  <si>
    <t>衣笠</t>
  </si>
  <si>
    <t>アズサ</t>
  </si>
  <si>
    <t>くろしお</t>
  </si>
  <si>
    <t>イクソラⅢ</t>
  </si>
  <si>
    <t>飛天</t>
  </si>
  <si>
    <t>アイデアル</t>
  </si>
  <si>
    <t>未央</t>
  </si>
  <si>
    <t>雪風</t>
  </si>
  <si>
    <t>シンシア</t>
  </si>
  <si>
    <t>アルファ</t>
  </si>
  <si>
    <t>FUHTA</t>
  </si>
  <si>
    <t>S/NM</t>
    <phoneticPr fontId="3"/>
  </si>
  <si>
    <t>初島</t>
    <rPh sb="0" eb="2">
      <t>ハツシマ</t>
    </rPh>
    <phoneticPr fontId="4"/>
  </si>
  <si>
    <t>Ａ</t>
    <phoneticPr fontId="3"/>
  </si>
  <si>
    <t>Ｅ</t>
    <phoneticPr fontId="3"/>
  </si>
  <si>
    <t>Ｆ</t>
    <phoneticPr fontId="3"/>
  </si>
  <si>
    <t>Ｄ</t>
    <phoneticPr fontId="3"/>
  </si>
  <si>
    <t>コース</t>
    <phoneticPr fontId="3"/>
  </si>
  <si>
    <t>月</t>
    <rPh sb="0" eb="1">
      <t>ツキ</t>
    </rPh>
    <phoneticPr fontId="3"/>
  </si>
  <si>
    <t>スタート</t>
    <phoneticPr fontId="3"/>
  </si>
  <si>
    <t xml:space="preserve"> (暫定) </t>
  </si>
  <si>
    <t>レース番号</t>
    <rPh sb="3" eb="5">
      <t>バンゴウ</t>
    </rPh>
    <phoneticPr fontId="3"/>
  </si>
  <si>
    <t>暫定版</t>
    <rPh sb="0" eb="2">
      <t>ザンテイ</t>
    </rPh>
    <rPh sb="2" eb="3">
      <t>ハン</t>
    </rPh>
    <phoneticPr fontId="3"/>
  </si>
  <si>
    <t>開催年</t>
    <rPh sb="0" eb="2">
      <t>カイサイ</t>
    </rPh>
    <rPh sb="2" eb="3">
      <t>ネン</t>
    </rPh>
    <phoneticPr fontId="3"/>
  </si>
  <si>
    <t>年</t>
    <rPh sb="0" eb="1">
      <t>ネン</t>
    </rPh>
    <phoneticPr fontId="3"/>
  </si>
  <si>
    <t>開催月</t>
    <rPh sb="0" eb="2">
      <t>カイサイ</t>
    </rPh>
    <rPh sb="2" eb="3">
      <t>ツキ</t>
    </rPh>
    <phoneticPr fontId="3"/>
  </si>
  <si>
    <t>レース番号</t>
    <rPh sb="3" eb="5">
      <t>バンゴウ</t>
    </rPh>
    <phoneticPr fontId="3"/>
  </si>
  <si>
    <t>熱海</t>
    <rPh sb="0" eb="2">
      <t>アタミ</t>
    </rPh>
    <phoneticPr fontId="4"/>
  </si>
  <si>
    <t>レース名</t>
    <rPh sb="3" eb="4">
      <t>メイ</t>
    </rPh>
    <phoneticPr fontId="3"/>
  </si>
  <si>
    <t>小網代フリートレース</t>
    <rPh sb="0" eb="1">
      <t>コ</t>
    </rPh>
    <rPh sb="1" eb="3">
      <t>アジロ</t>
    </rPh>
    <phoneticPr fontId="3"/>
  </si>
  <si>
    <t>熱海ランデブーレース</t>
    <rPh sb="0" eb="2">
      <t>アタミ</t>
    </rPh>
    <phoneticPr fontId="3"/>
  </si>
  <si>
    <t>ＴＡ</t>
    <phoneticPr fontId="3"/>
  </si>
  <si>
    <t>ＴＡ</t>
    <phoneticPr fontId="3"/>
  </si>
  <si>
    <t>Ⅰ</t>
    <phoneticPr fontId="3"/>
  </si>
  <si>
    <t>Ⅱ</t>
    <phoneticPr fontId="3"/>
  </si>
  <si>
    <t>Ⅲ</t>
    <phoneticPr fontId="3"/>
  </si>
  <si>
    <t>記  事</t>
    <phoneticPr fontId="3"/>
  </si>
  <si>
    <t>艇速</t>
    <rPh sb="0" eb="1">
      <t>テイ</t>
    </rPh>
    <rPh sb="1" eb="2">
      <t>ソク</t>
    </rPh>
    <phoneticPr fontId="3"/>
  </si>
  <si>
    <t>時刻</t>
    <rPh sb="0" eb="2">
      <t>ジコク</t>
    </rPh>
    <phoneticPr fontId="3"/>
  </si>
  <si>
    <t>コース・距離</t>
    <rPh sb="4" eb="6">
      <t>キョリ</t>
    </rPh>
    <phoneticPr fontId="3"/>
  </si>
  <si>
    <t>Ｅ</t>
  </si>
  <si>
    <t>距離(NM)</t>
    <rPh sb="0" eb="2">
      <t>キョリ</t>
    </rPh>
    <phoneticPr fontId="3"/>
  </si>
  <si>
    <t>得点（参照用）</t>
    <rPh sb="0" eb="2">
      <t>トクテン</t>
    </rPh>
    <rPh sb="3" eb="6">
      <t>サンショウヨウ</t>
    </rPh>
    <phoneticPr fontId="3"/>
  </si>
  <si>
    <t>得点</t>
    <rPh sb="0" eb="2">
      <t>トクテン</t>
    </rPh>
    <phoneticPr fontId="3"/>
  </si>
  <si>
    <t>MAX=20</t>
    <phoneticPr fontId="3"/>
  </si>
  <si>
    <t>MAX=30</t>
    <phoneticPr fontId="3"/>
  </si>
  <si>
    <t>MAX=40</t>
    <phoneticPr fontId="3"/>
  </si>
  <si>
    <t>MAX=40</t>
    <phoneticPr fontId="3"/>
  </si>
  <si>
    <t>MAX=20</t>
    <phoneticPr fontId="3"/>
  </si>
  <si>
    <t>開催日</t>
    <rPh sb="0" eb="3">
      <t>カイサイビ</t>
    </rPh>
    <phoneticPr fontId="3"/>
  </si>
  <si>
    <t>距離</t>
    <rPh sb="0" eb="2">
      <t>キョリ</t>
    </rPh>
    <phoneticPr fontId="3"/>
  </si>
  <si>
    <t>Ｄ短縮</t>
    <rPh sb="1" eb="3">
      <t>タンシュク</t>
    </rPh>
    <phoneticPr fontId="3"/>
  </si>
  <si>
    <t xml:space="preserve"> (確定) </t>
    <rPh sb="2" eb="4">
      <t>カクテイ</t>
    </rPh>
    <phoneticPr fontId="3"/>
  </si>
  <si>
    <t>コース</t>
  </si>
  <si>
    <t/>
  </si>
  <si>
    <t>SAIL　No.</t>
  </si>
  <si>
    <t>艇　名</t>
  </si>
  <si>
    <t>得点計</t>
  </si>
  <si>
    <t>皆勤賞</t>
    <rPh sb="0" eb="3">
      <t>カイキンショウ</t>
    </rPh>
    <phoneticPr fontId="4"/>
  </si>
  <si>
    <t>参加賞</t>
    <rPh sb="0" eb="3">
      <t>サンカショウ</t>
    </rPh>
    <phoneticPr fontId="4"/>
  </si>
  <si>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</si>
  <si>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</si>
  <si>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</si>
  <si>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</si>
  <si>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</si>
  <si>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</si>
  <si>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</si>
  <si>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</si>
  <si>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</si>
  <si>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</si>
  <si>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</si>
  <si>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</si>
  <si>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</si>
  <si>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</si>
  <si>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</si>
  <si>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</si>
  <si>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</si>
  <si>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</si>
  <si>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</si>
  <si>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</si>
  <si>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</si>
  <si>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</si>
  <si>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</si>
  <si>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</si>
  <si>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</si>
  <si>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4"/>
  </si>
  <si>
    <t>レース委員会　野村政司</t>
    <rPh sb="3" eb="6">
      <t>イインカイ</t>
    </rPh>
    <rPh sb="7" eb="9">
      <t>ノムラ</t>
    </rPh>
    <rPh sb="9" eb="11">
      <t>セイジ</t>
    </rPh>
    <phoneticPr fontId="4"/>
  </si>
  <si>
    <t>　優 勝 盾　</t>
  </si>
  <si>
    <t>1</t>
    <phoneticPr fontId="4"/>
  </si>
  <si>
    <t>5</t>
    <phoneticPr fontId="4"/>
  </si>
  <si>
    <t>11</t>
    <phoneticPr fontId="4"/>
  </si>
  <si>
    <t>12</t>
    <phoneticPr fontId="4"/>
  </si>
  <si>
    <t>20</t>
    <phoneticPr fontId="4"/>
  </si>
  <si>
    <t>Cはコミッティ担当、Bはコミッティボート提供。</t>
    <phoneticPr fontId="4"/>
  </si>
  <si>
    <t xml:space="preserve">　皆 勤 賞    </t>
    <phoneticPr fontId="4"/>
  </si>
  <si>
    <t xml:space="preserve">　参 加 賞  </t>
    <phoneticPr fontId="4"/>
  </si>
  <si>
    <t>小網代フリートレース　コミッティポイント</t>
    <phoneticPr fontId="4"/>
  </si>
  <si>
    <t>担当者名</t>
    <rPh sb="0" eb="2">
      <t>タントウ</t>
    </rPh>
    <rPh sb="2" eb="3">
      <t>シャ</t>
    </rPh>
    <rPh sb="3" eb="4">
      <t>メイ</t>
    </rPh>
    <phoneticPr fontId="4"/>
  </si>
  <si>
    <t>敬称略</t>
    <rPh sb="0" eb="2">
      <t>ケイショウ</t>
    </rPh>
    <rPh sb="2" eb="3">
      <t>リャク</t>
    </rPh>
    <phoneticPr fontId="4"/>
  </si>
  <si>
    <t>本部艇</t>
    <rPh sb="0" eb="2">
      <t>ホンブ</t>
    </rPh>
    <rPh sb="2" eb="3">
      <t>テイ</t>
    </rPh>
    <phoneticPr fontId="4"/>
  </si>
  <si>
    <t>Kマーク担当</t>
    <rPh sb="4" eb="6">
      <t>タントウ</t>
    </rPh>
    <phoneticPr fontId="4"/>
  </si>
  <si>
    <t>26</t>
  </si>
  <si>
    <t>27</t>
  </si>
  <si>
    <t>28</t>
  </si>
  <si>
    <t>29</t>
  </si>
  <si>
    <t>30</t>
  </si>
  <si>
    <t>KFR開催</t>
    <rPh sb="3" eb="5">
      <t>カイサイ</t>
    </rPh>
    <phoneticPr fontId="4"/>
  </si>
  <si>
    <t>日程</t>
  </si>
  <si>
    <t>Aマーク担当</t>
  </si>
  <si>
    <t>スタート</t>
    <phoneticPr fontId="4"/>
  </si>
  <si>
    <t>ケロニア</t>
  </si>
  <si>
    <t>注２）</t>
  </si>
  <si>
    <t>熱海ランデブーレース　</t>
  </si>
  <si>
    <t>熱海Ｒ
順位</t>
    <rPh sb="0" eb="2">
      <t>アタミ</t>
    </rPh>
    <rPh sb="4" eb="6">
      <t>ジュンイ</t>
    </rPh>
    <phoneticPr fontId="3"/>
  </si>
  <si>
    <t>SYC合同</t>
    <rPh sb="3" eb="5">
      <t>ゴウドウ</t>
    </rPh>
    <phoneticPr fontId="3"/>
  </si>
  <si>
    <t>K</t>
    <phoneticPr fontId="3"/>
  </si>
  <si>
    <t>ナジャ</t>
  </si>
  <si>
    <t>テティス</t>
  </si>
  <si>
    <t>HAURAKI</t>
  </si>
  <si>
    <t>Bitter End</t>
  </si>
  <si>
    <t>BASIC</t>
  </si>
  <si>
    <t>SPIRIT OF TOKYO</t>
  </si>
  <si>
    <t>INDICUM</t>
  </si>
  <si>
    <t>トーネイド</t>
  </si>
  <si>
    <t>ABI</t>
  </si>
  <si>
    <t>ネオパトス</t>
  </si>
  <si>
    <t>ながつろ</t>
  </si>
  <si>
    <t>じゃがたら</t>
  </si>
  <si>
    <t>たかとり</t>
  </si>
  <si>
    <t>　</t>
    <phoneticPr fontId="3"/>
  </si>
  <si>
    <t>Ⅰ</t>
  </si>
  <si>
    <t>上期</t>
    <rPh sb="0" eb="2">
      <t>カミキ</t>
    </rPh>
    <phoneticPr fontId="3"/>
  </si>
  <si>
    <t>後期</t>
    <rPh sb="0" eb="2">
      <t>コウキ</t>
    </rPh>
    <phoneticPr fontId="3"/>
  </si>
  <si>
    <t>得点計</t>
    <phoneticPr fontId="3"/>
  </si>
  <si>
    <t>年間得点計</t>
    <rPh sb="0" eb="2">
      <t>ネンカン</t>
    </rPh>
    <phoneticPr fontId="3"/>
  </si>
  <si>
    <t>＃494</t>
  </si>
  <si>
    <t>小網代ヨットクラブ レース委員会</t>
    <rPh sb="0" eb="1">
      <t>コ</t>
    </rPh>
    <rPh sb="1" eb="3">
      <t>アジロ</t>
    </rPh>
    <rPh sb="13" eb="16">
      <t>イインカイ</t>
    </rPh>
    <phoneticPr fontId="3"/>
  </si>
  <si>
    <t>実施日</t>
    <rPh sb="0" eb="2">
      <t>ジッシ</t>
    </rPh>
    <rPh sb="2" eb="3">
      <t>ビ</t>
    </rPh>
    <phoneticPr fontId="23"/>
  </si>
  <si>
    <t>本部艇</t>
    <rPh sb="0" eb="2">
      <t>ホンブ</t>
    </rPh>
    <rPh sb="2" eb="3">
      <t>テイ</t>
    </rPh>
    <phoneticPr fontId="3"/>
  </si>
  <si>
    <t>マーク担当</t>
    <rPh sb="3" eb="5">
      <t>タントウ</t>
    </rPh>
    <phoneticPr fontId="3"/>
  </si>
  <si>
    <t>1月</t>
    <rPh sb="1" eb="2">
      <t>ガツ</t>
    </rPh>
    <phoneticPr fontId="3"/>
  </si>
  <si>
    <t>2月</t>
    <rPh sb="1" eb="2">
      <t>ガツ</t>
    </rPh>
    <phoneticPr fontId="3"/>
  </si>
  <si>
    <t>3月</t>
    <rPh sb="1" eb="2">
      <t>ガツ</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</si>
  <si>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</si>
  <si>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</si>
  <si>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</si>
  <si>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</si>
  <si>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</si>
  <si>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</si>
  <si>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</si>
  <si>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</si>
  <si>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</si>
  <si>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風速：xxxノット
風向：　
天気：
◇ｺﾐｯﾃｨ：</t>
    <phoneticPr fontId="3"/>
  </si>
  <si>
    <t>風向：　</t>
    <phoneticPr fontId="3"/>
  </si>
  <si>
    <t>天気：</t>
    <phoneticPr fontId="3"/>
  </si>
  <si>
    <t>次回
2015年８月16日 
◇ｺﾐｯﾃｨ：くろしお</t>
    <phoneticPr fontId="3"/>
  </si>
  <si>
    <t>ｺﾐｯﾃｨ：</t>
    <phoneticPr fontId="3"/>
  </si>
  <si>
    <t>ｺﾐｯﾃｨ：</t>
    <phoneticPr fontId="3"/>
  </si>
  <si>
    <t>2月</t>
  </si>
  <si>
    <t>3月</t>
  </si>
  <si>
    <t>4月</t>
  </si>
  <si>
    <t>5月</t>
  </si>
  <si>
    <t>6月</t>
  </si>
  <si>
    <t>7月</t>
  </si>
  <si>
    <t>8月</t>
  </si>
  <si>
    <t>9月</t>
  </si>
  <si>
    <t>10月</t>
  </si>
  <si>
    <t>11月</t>
  </si>
  <si>
    <t>12月</t>
  </si>
  <si>
    <t>ｺｰｽ：</t>
    <phoneticPr fontId="3"/>
  </si>
  <si>
    <t>E</t>
    <phoneticPr fontId="3"/>
  </si>
  <si>
    <t>　ステンドグラス楯</t>
    <phoneticPr fontId="3"/>
  </si>
  <si>
    <t xml:space="preserve">　各月トップ賞  </t>
    <rPh sb="1" eb="2">
      <t>カク</t>
    </rPh>
    <rPh sb="2" eb="3">
      <t>ツキ</t>
    </rPh>
    <phoneticPr fontId="4"/>
  </si>
  <si>
    <t>（半期全回出場した艇）</t>
    <phoneticPr fontId="3"/>
  </si>
  <si>
    <t>（半期2回以上出場した艇）</t>
    <phoneticPr fontId="3"/>
  </si>
  <si>
    <t>小網代フリートレース成績（確定）</t>
    <rPh sb="10" eb="12">
      <t>セイセキ</t>
    </rPh>
    <rPh sb="13" eb="15">
      <t>カクテイ</t>
    </rPh>
    <phoneticPr fontId="4"/>
  </si>
  <si>
    <t>＃499</t>
  </si>
  <si>
    <t>＃500</t>
  </si>
  <si>
    <t>＃501</t>
  </si>
  <si>
    <t>＃502</t>
  </si>
  <si>
    <t>＃503</t>
  </si>
  <si>
    <t>＃504</t>
  </si>
  <si>
    <t>Ｅ</t>
    <phoneticPr fontId="3"/>
  </si>
  <si>
    <t>C短縮</t>
    <rPh sb="1" eb="3">
      <t>タンシュク</t>
    </rPh>
    <phoneticPr fontId="3"/>
  </si>
  <si>
    <t>HAYATE</t>
  </si>
  <si>
    <t>SHARK X</t>
  </si>
  <si>
    <t>桜工</t>
  </si>
  <si>
    <t>ランカ</t>
  </si>
  <si>
    <t xml:space="preserve"> </t>
    <phoneticPr fontId="3"/>
  </si>
  <si>
    <t>皆勤賞</t>
    <rPh sb="0" eb="3">
      <t>カイキンショウ</t>
    </rPh>
    <phoneticPr fontId="3"/>
  </si>
  <si>
    <t>参加賞</t>
    <rPh sb="0" eb="3">
      <t>サンカショウ</t>
    </rPh>
    <phoneticPr fontId="3"/>
  </si>
  <si>
    <t>レース参加艇数</t>
    <rPh sb="3" eb="5">
      <t>サンカ</t>
    </rPh>
    <rPh sb="5" eb="6">
      <t>テイ</t>
    </rPh>
    <rPh sb="6" eb="7">
      <t>スウ</t>
    </rPh>
    <phoneticPr fontId="3"/>
  </si>
  <si>
    <t>Ｋ</t>
  </si>
  <si>
    <t>K</t>
    <phoneticPr fontId="3"/>
  </si>
  <si>
    <t>＃512</t>
  </si>
  <si>
    <t>＃513</t>
  </si>
  <si>
    <t>＃514</t>
  </si>
  <si>
    <t>＃515</t>
  </si>
  <si>
    <t>＃516</t>
  </si>
  <si>
    <t>＃517</t>
  </si>
  <si>
    <t>＃518</t>
  </si>
  <si>
    <t>＃519</t>
  </si>
  <si>
    <t>＃520</t>
  </si>
  <si>
    <t>＃521</t>
  </si>
  <si>
    <t>＃522</t>
  </si>
  <si>
    <t>＃523</t>
  </si>
  <si>
    <t>E(500記念)</t>
    <rPh sb="5" eb="7">
      <t>キネン</t>
    </rPh>
    <phoneticPr fontId="3"/>
  </si>
  <si>
    <t>2017年6月現在</t>
    <rPh sb="4" eb="5">
      <t>ネン</t>
    </rPh>
    <rPh sb="6" eb="7">
      <t>ガツ</t>
    </rPh>
    <rPh sb="7" eb="9">
      <t>ゲンザイ</t>
    </rPh>
    <phoneticPr fontId="4"/>
  </si>
  <si>
    <t>2017年度 前期</t>
    <rPh sb="7" eb="9">
      <t>ゼンキ</t>
    </rPh>
    <phoneticPr fontId="4"/>
  </si>
  <si>
    <t>～  kt</t>
    <phoneticPr fontId="3"/>
  </si>
  <si>
    <t>艇　名</t>
    <rPh sb="0" eb="1">
      <t>テイ</t>
    </rPh>
    <rPh sb="2" eb="3">
      <t>ナ</t>
    </rPh>
    <phoneticPr fontId="3"/>
  </si>
  <si>
    <t>R（m）</t>
    <phoneticPr fontId="3"/>
  </si>
  <si>
    <t>TA Ⅰ</t>
    <phoneticPr fontId="3"/>
  </si>
  <si>
    <t>TA　Ⅱ</t>
    <phoneticPr fontId="3"/>
  </si>
  <si>
    <t>TA　Ⅲ</t>
    <phoneticPr fontId="3"/>
  </si>
  <si>
    <t>Miss Nippon Ⅷ</t>
  </si>
  <si>
    <t>EBB TIDE</t>
  </si>
  <si>
    <t>ｱﾚｷｻﾝﾄﾞﾗ</t>
  </si>
  <si>
    <t>ｲｴﾛｰﾏｼﾞｯｸ</t>
  </si>
  <si>
    <t>ﾌﾙｰﾄﾞﾘｽⅦ</t>
  </si>
  <si>
    <t>ﾌﾞﾙｰﾘﾎﾞﾝ</t>
  </si>
  <si>
    <t>ﾌｪﾆｯｸｽ</t>
  </si>
  <si>
    <t>ﾌﾟﾗｳﾄﾞﾒｱﾘｰ</t>
  </si>
  <si>
    <t>MAX=30</t>
    <phoneticPr fontId="3"/>
  </si>
  <si>
    <t>MAX=30</t>
    <phoneticPr fontId="42"/>
  </si>
  <si>
    <t>Ⅱ</t>
  </si>
  <si>
    <t>○</t>
    <phoneticPr fontId="3"/>
  </si>
  <si>
    <t xml:space="preserve"> 秒/ﾏｲﾙ</t>
  </si>
  <si>
    <t xml:space="preserve"> 秒/ﾏｲﾙ</t>
    <phoneticPr fontId="3"/>
  </si>
  <si>
    <t>RATING</t>
    <phoneticPr fontId="3"/>
  </si>
  <si>
    <t>2018年</t>
    <rPh sb="4" eb="5">
      <t>ネン</t>
    </rPh>
    <phoneticPr fontId="3"/>
  </si>
  <si>
    <t>H</t>
  </si>
  <si>
    <t>H</t>
    <phoneticPr fontId="3"/>
  </si>
  <si>
    <t>J</t>
    <phoneticPr fontId="3"/>
  </si>
  <si>
    <t>K</t>
  </si>
  <si>
    <t>K</t>
    <phoneticPr fontId="3"/>
  </si>
  <si>
    <t>2018公示 帆走指示書より</t>
    <rPh sb="4" eb="6">
      <t>コウジ</t>
    </rPh>
    <rPh sb="7" eb="9">
      <t>ハンソウ</t>
    </rPh>
    <rPh sb="9" eb="12">
      <t>シジショ</t>
    </rPh>
    <phoneticPr fontId="3"/>
  </si>
  <si>
    <t>＃524</t>
  </si>
  <si>
    <t>＃525</t>
  </si>
  <si>
    <t>＃526</t>
  </si>
  <si>
    <t>＃527</t>
  </si>
  <si>
    <t>＃528</t>
  </si>
  <si>
    <t>＃529</t>
  </si>
  <si>
    <t>＃530</t>
  </si>
  <si>
    <t>＃531</t>
  </si>
  <si>
    <t>＃532</t>
  </si>
  <si>
    <t>＃533</t>
  </si>
  <si>
    <t>＃534</t>
  </si>
  <si>
    <t>＃535</t>
  </si>
  <si>
    <t>＃536</t>
  </si>
  <si>
    <t>E</t>
    <phoneticPr fontId="3"/>
  </si>
  <si>
    <t>H</t>
    <phoneticPr fontId="3"/>
  </si>
  <si>
    <t>E</t>
    <phoneticPr fontId="3"/>
  </si>
  <si>
    <t>初島</t>
    <rPh sb="0" eb="2">
      <t>ハツシマ</t>
    </rPh>
    <phoneticPr fontId="3"/>
  </si>
  <si>
    <t>EまたはD</t>
    <phoneticPr fontId="3"/>
  </si>
  <si>
    <t>Eまはた合同</t>
    <rPh sb="4" eb="6">
      <t>ゴウドウ</t>
    </rPh>
    <phoneticPr fontId="3"/>
  </si>
  <si>
    <t>JまたはH</t>
    <phoneticPr fontId="3"/>
  </si>
  <si>
    <t>熱海</t>
    <rPh sb="0" eb="2">
      <t>アタミ</t>
    </rPh>
    <phoneticPr fontId="3"/>
  </si>
  <si>
    <t>FまたはA</t>
    <phoneticPr fontId="3"/>
  </si>
  <si>
    <t>E</t>
    <phoneticPr fontId="3"/>
  </si>
  <si>
    <t>H</t>
    <phoneticPr fontId="3"/>
  </si>
  <si>
    <t>かまくら</t>
    <phoneticPr fontId="42"/>
  </si>
  <si>
    <t>アルファ</t>
    <phoneticPr fontId="42"/>
  </si>
  <si>
    <t>SPT</t>
    <phoneticPr fontId="3"/>
  </si>
  <si>
    <t>リミット</t>
    <phoneticPr fontId="3"/>
  </si>
  <si>
    <t>得点</t>
    <rPh sb="0" eb="2">
      <t>トクテン</t>
    </rPh>
    <phoneticPr fontId="3"/>
  </si>
  <si>
    <t>MAX=20</t>
    <phoneticPr fontId="3"/>
  </si>
  <si>
    <t>衣笠</t>
    <rPh sb="0" eb="2">
      <t>キヌガサ</t>
    </rPh>
    <phoneticPr fontId="3"/>
  </si>
  <si>
    <t>飛車角</t>
    <rPh sb="0" eb="3">
      <t>ヒシャカク</t>
    </rPh>
    <phoneticPr fontId="3"/>
  </si>
  <si>
    <t>別途</t>
    <rPh sb="0" eb="2">
      <t>ベット</t>
    </rPh>
    <phoneticPr fontId="3"/>
  </si>
  <si>
    <t>波勝</t>
    <rPh sb="0" eb="2">
      <t>ハガチ</t>
    </rPh>
    <phoneticPr fontId="3"/>
  </si>
  <si>
    <t>未央</t>
    <rPh sb="0" eb="2">
      <t>ミオ</t>
    </rPh>
    <phoneticPr fontId="3"/>
  </si>
  <si>
    <t>ネプチューンXⅡ</t>
  </si>
  <si>
    <t>フェニックス</t>
  </si>
  <si>
    <t>サーモン4</t>
    <phoneticPr fontId="3"/>
  </si>
  <si>
    <t>平賀威</t>
    <rPh sb="0" eb="2">
      <t>ヒラガ</t>
    </rPh>
    <rPh sb="2" eb="3">
      <t>イ</t>
    </rPh>
    <phoneticPr fontId="3"/>
  </si>
  <si>
    <t>平賀三奈子</t>
    <rPh sb="0" eb="2">
      <t>ヒラガ</t>
    </rPh>
    <rPh sb="2" eb="5">
      <t>ミナコ</t>
    </rPh>
    <phoneticPr fontId="3"/>
  </si>
  <si>
    <t>飯島</t>
    <rPh sb="0" eb="2">
      <t>イイジマ</t>
    </rPh>
    <phoneticPr fontId="3"/>
  </si>
  <si>
    <t>かまくら</t>
    <phoneticPr fontId="3"/>
  </si>
  <si>
    <t>さがみ</t>
    <phoneticPr fontId="3"/>
  </si>
  <si>
    <t>武沢</t>
    <rPh sb="0" eb="2">
      <t>タケザワ</t>
    </rPh>
    <phoneticPr fontId="3"/>
  </si>
  <si>
    <t>都築</t>
    <rPh sb="0" eb="2">
      <t>ツヅキ</t>
    </rPh>
    <phoneticPr fontId="3"/>
  </si>
  <si>
    <t>GULL</t>
    <phoneticPr fontId="3"/>
  </si>
  <si>
    <t>2018年KFRコミッティー担当一覧</t>
    <rPh sb="4" eb="5">
      <t>ネン</t>
    </rPh>
    <rPh sb="14" eb="16">
      <t>タントウ</t>
    </rPh>
    <rPh sb="16" eb="18">
      <t>イチラン</t>
    </rPh>
    <phoneticPr fontId="3"/>
  </si>
  <si>
    <t>VEGA</t>
  </si>
  <si>
    <t>ﾈﾌﾟﾁｭｰﾝXⅡ</t>
  </si>
  <si>
    <t>2018年2月18日</t>
    <phoneticPr fontId="3"/>
  </si>
  <si>
    <t>松田</t>
    <rPh sb="0" eb="2">
      <t>マツダ</t>
    </rPh>
    <phoneticPr fontId="3"/>
  </si>
  <si>
    <t>くろしお</t>
    <phoneticPr fontId="3"/>
  </si>
  <si>
    <t>石井</t>
    <rPh sb="0" eb="2">
      <t>イシイ</t>
    </rPh>
    <phoneticPr fontId="3"/>
  </si>
  <si>
    <t>福島</t>
    <rPh sb="0" eb="2">
      <t>フクシマ</t>
    </rPh>
    <phoneticPr fontId="3"/>
  </si>
  <si>
    <t>平賀</t>
    <rPh sb="0" eb="2">
      <t>ヒラガ</t>
    </rPh>
    <phoneticPr fontId="3"/>
  </si>
  <si>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4"/>
  </si>
  <si>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4"/>
  </si>
  <si>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4"/>
  </si>
  <si>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4"/>
  </si>
  <si>
    <t>鈴木深</t>
    <rPh sb="0" eb="2">
      <t>スズキ</t>
    </rPh>
    <rPh sb="2" eb="3">
      <t>フカシ</t>
    </rPh>
    <phoneticPr fontId="3"/>
  </si>
  <si>
    <t>田中</t>
    <rPh sb="0" eb="2">
      <t>タナカ</t>
    </rPh>
    <phoneticPr fontId="3"/>
  </si>
  <si>
    <t>衣笠</t>
    <rPh sb="0" eb="2">
      <t>キヌガサ</t>
    </rPh>
    <phoneticPr fontId="3"/>
  </si>
  <si>
    <t>国方</t>
    <rPh sb="0" eb="2">
      <t>クニカタ</t>
    </rPh>
    <phoneticPr fontId="3"/>
  </si>
  <si>
    <t>渡辺修</t>
    <rPh sb="0" eb="2">
      <t>ワタナベ</t>
    </rPh>
    <rPh sb="2" eb="3">
      <t>オサム</t>
    </rPh>
    <phoneticPr fontId="3"/>
  </si>
  <si>
    <t>渡辺康</t>
    <rPh sb="0" eb="2">
      <t>ワタナベ</t>
    </rPh>
    <rPh sb="2" eb="3">
      <t>ヤス</t>
    </rPh>
    <phoneticPr fontId="3"/>
  </si>
  <si>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4"/>
  </si>
  <si>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4"/>
  </si>
  <si>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4"/>
  </si>
  <si>
    <t>古屋</t>
    <rPh sb="0" eb="2">
      <t>フルヤ</t>
    </rPh>
    <phoneticPr fontId="3"/>
  </si>
  <si>
    <t>小川</t>
    <rPh sb="0" eb="2">
      <t>オガワ</t>
    </rPh>
    <phoneticPr fontId="3"/>
  </si>
  <si>
    <t>ネプチューン</t>
    <phoneticPr fontId="3"/>
  </si>
  <si>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4"/>
  </si>
  <si>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4"/>
  </si>
  <si>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4"/>
  </si>
  <si>
    <t>山本</t>
    <rPh sb="0" eb="2">
      <t>ヤマモト</t>
    </rPh>
    <phoneticPr fontId="3"/>
  </si>
  <si>
    <t>石井</t>
    <rPh sb="0" eb="2">
      <t>イシイ</t>
    </rPh>
    <phoneticPr fontId="3"/>
  </si>
  <si>
    <t>月居</t>
    <rPh sb="0" eb="2">
      <t>ツキイ</t>
    </rPh>
    <phoneticPr fontId="3"/>
  </si>
  <si>
    <t>中谷</t>
    <rPh sb="0" eb="2">
      <t>ナカタニ</t>
    </rPh>
    <phoneticPr fontId="3"/>
  </si>
  <si>
    <t>高橋</t>
    <rPh sb="0" eb="2">
      <t>タカハシ</t>
    </rPh>
    <phoneticPr fontId="3"/>
  </si>
  <si>
    <t>フェニックス</t>
    <phoneticPr fontId="3"/>
  </si>
  <si>
    <t>フェニックス</t>
    <phoneticPr fontId="3"/>
  </si>
  <si>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4"/>
  </si>
  <si>
    <t>三浦</t>
    <rPh sb="0" eb="2">
      <t>ミウラ</t>
    </rPh>
    <phoneticPr fontId="3"/>
  </si>
  <si>
    <t>宮井</t>
    <rPh sb="0" eb="2">
      <t>ミヤイ</t>
    </rPh>
    <phoneticPr fontId="3"/>
  </si>
  <si>
    <t>永野</t>
    <rPh sb="0" eb="2">
      <t>ナガノ</t>
    </rPh>
    <phoneticPr fontId="3"/>
  </si>
  <si>
    <t>平賀</t>
    <rPh sb="0" eb="2">
      <t>ヒラガ</t>
    </rPh>
    <phoneticPr fontId="3"/>
  </si>
  <si>
    <t>氏家</t>
    <rPh sb="0" eb="2">
      <t>ウジイエ</t>
    </rPh>
    <phoneticPr fontId="3"/>
  </si>
  <si>
    <t>飛車角</t>
    <rPh sb="0" eb="3">
      <t>ヒシャカク</t>
    </rPh>
    <phoneticPr fontId="3"/>
  </si>
  <si>
    <t>かまくら</t>
    <phoneticPr fontId="3"/>
  </si>
  <si>
    <t>胡桃</t>
    <rPh sb="0" eb="2">
      <t>クルミ</t>
    </rPh>
    <phoneticPr fontId="3"/>
  </si>
  <si>
    <t>○</t>
  </si>
  <si>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4"/>
  </si>
  <si>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4"/>
  </si>
  <si>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4"/>
  </si>
  <si>
    <t>2018年度 後期</t>
    <rPh sb="7" eb="9">
      <t>コウキ</t>
    </rPh>
    <phoneticPr fontId="4"/>
  </si>
  <si>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4"/>
  </si>
  <si>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4"/>
  </si>
  <si>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4"/>
  </si>
  <si>
    <t>H or J</t>
    <phoneticPr fontId="3"/>
  </si>
  <si>
    <t>Ｆor A</t>
    <phoneticPr fontId="42"/>
  </si>
  <si>
    <t>児玉</t>
    <rPh sb="0" eb="2">
      <t>コダマ</t>
    </rPh>
    <phoneticPr fontId="3"/>
  </si>
  <si>
    <t>里吉</t>
    <rPh sb="0" eb="2">
      <t>サトヨシ</t>
    </rPh>
    <phoneticPr fontId="3"/>
  </si>
  <si>
    <t>テティス</t>
    <phoneticPr fontId="3"/>
  </si>
  <si>
    <t xml:space="preserve"> 5～12  kt</t>
    <phoneticPr fontId="3"/>
  </si>
  <si>
    <t>,南</t>
    <rPh sb="1" eb="2">
      <t>ミナミ</t>
    </rPh>
    <phoneticPr fontId="3"/>
  </si>
  <si>
    <t>晴れ</t>
    <rPh sb="0" eb="1">
      <t>ハ</t>
    </rPh>
    <phoneticPr fontId="3"/>
  </si>
  <si>
    <t xml:space="preserve">【レースコメント】  
7月のKFRはシーボニアヨットクラブの相模湾オープンと同時開催が恒例となりつつあります。今年もKFRダブルエントリーが9艇KFRのみが7艇、全参加71艇のレースとなりました。スタート順の関係でKFR参加艇はシーボニアA又はBクラスでの参加となります。シャークXもORC/IRCを持っていますがシーボニアAで参加させて頂きました。自分はいつも本部艇で待っているのですが今年は案外と早く帰ってきてくれました。あとでメンバーに聞いたら帰りも強い沖に出す潮があったのに気がついて最短距離で走れた事。ギリギリワンタックで秋谷沖の定置網を越えられた事が良かったようです。確かに本部船は風向と正反対に向いてしまう程の強い潮がありました。朝は微風でコース短縮も考えていたのですが、最後は13-14ノット程度まで吹き上がり気持ちの良いレースができました。来年もよろしくお願い申し上げます。(SHARK X 関根）
</t>
    <rPh sb="406" eb="408">
      <t>セキネ</t>
    </rPh>
    <phoneticPr fontId="3"/>
  </si>
  <si>
    <t>※</t>
    <phoneticPr fontId="3"/>
  </si>
  <si>
    <t>※2018.8.16レーティング反映</t>
    <rPh sb="16" eb="18">
      <t>ハンエイ</t>
    </rPh>
    <phoneticPr fontId="3"/>
  </si>
  <si>
    <t>RET</t>
    <phoneticPr fontId="42"/>
  </si>
  <si>
    <t>1～7kt</t>
    <phoneticPr fontId="3"/>
  </si>
  <si>
    <t xml:space="preserve"> 北東～西～南 </t>
    <rPh sb="1" eb="3">
      <t>ホクトウ</t>
    </rPh>
    <rPh sb="4" eb="5">
      <t>ニシ</t>
    </rPh>
    <rPh sb="6" eb="7">
      <t>ミナミ</t>
    </rPh>
    <phoneticPr fontId="3"/>
  </si>
  <si>
    <t>晴れ</t>
    <rPh sb="0" eb="1">
      <t>ハ</t>
    </rPh>
    <phoneticPr fontId="42"/>
  </si>
  <si>
    <t>野村</t>
    <rPh sb="0" eb="2">
      <t>ノムラ</t>
    </rPh>
    <phoneticPr fontId="3"/>
  </si>
  <si>
    <t>はやとり</t>
    <phoneticPr fontId="3"/>
  </si>
  <si>
    <t>遠藤</t>
    <rPh sb="0" eb="2">
      <t>エンドウ</t>
    </rPh>
    <phoneticPr fontId="3"/>
  </si>
  <si>
    <t>平賀</t>
    <rPh sb="0" eb="2">
      <t>ヒラガ</t>
    </rPh>
    <phoneticPr fontId="3"/>
  </si>
  <si>
    <t>かまくら</t>
    <phoneticPr fontId="3"/>
  </si>
  <si>
    <t xml:space="preserve">【レースコメント】  
微風でレース成立が危ぶまれたが、コミィッティーのコース変更が好判断でレースを楽しむことができた。スタートより苦手な微風のスピンランで艇団について行くのが精一杯であったが、城ヶ島沖でラッキーな風を拾って逃げる展開になった。富士山を臨む美しく穏やかな海面を滑らせながら、アルファのデッキ上は、相変わらず缶ビール片手にコール(罵声)が飛び交う緊迫した(険悪な)ムードで静かな海を乱した。南西漁礁ではカームに捉まり罵声の力で回航して逃げ切りを図ったが、復路の城ヶ島沖で潮目に突っ込みキールとセイルドライブに海草を引っ掛けた。後方のカマクラとテティスにどんどん迫られ、イライラしながらやっとのことでフィニッシュライ
ンにたどりついた。ヨットは声で動かないことを痛感したが、幸運が味方してくれたレースだった。(アルファ 伊藤彰男）
【レース委員会より】
風が弱く予定のHコースからEコースにコース短縮しました。
</t>
    <rPh sb="366" eb="368">
      <t>イトウ</t>
    </rPh>
    <rPh sb="368" eb="370">
      <t>アキオ</t>
    </rPh>
    <rPh sb="383" eb="384">
      <t>フウ</t>
    </rPh>
    <rPh sb="385" eb="386">
      <t>ヨワ</t>
    </rPh>
    <rPh sb="387" eb="389">
      <t>ヨテイ</t>
    </rPh>
    <phoneticPr fontId="3"/>
  </si>
  <si>
    <t xml:space="preserve">【レース委員会より】
台風１２号の影響で、スパ・マリーナ熱海の桟橋に被害があり、ビジターバースが当面利用できなくなったため、2018年の熱海ランデブーレースは止む無く中止としました。(レース委員会)
</t>
    <phoneticPr fontId="3"/>
  </si>
  <si>
    <t>コミッティ</t>
    <phoneticPr fontId="42"/>
  </si>
  <si>
    <t>コミッティ</t>
    <phoneticPr fontId="42"/>
  </si>
  <si>
    <t>サーモン4</t>
    <phoneticPr fontId="42"/>
  </si>
  <si>
    <t xml:space="preserve"> 2～9  kt</t>
    <phoneticPr fontId="3"/>
  </si>
  <si>
    <t xml:space="preserve"> 北東～ 南東</t>
    <rPh sb="1" eb="3">
      <t>ホクトウ</t>
    </rPh>
    <rPh sb="5" eb="7">
      <t>ナントウ</t>
    </rPh>
    <phoneticPr fontId="3"/>
  </si>
  <si>
    <t>曇り</t>
    <rPh sb="0" eb="1">
      <t>クモ</t>
    </rPh>
    <phoneticPr fontId="42"/>
  </si>
  <si>
    <t>サーモン4</t>
    <phoneticPr fontId="3"/>
  </si>
  <si>
    <t>サーモン4</t>
    <phoneticPr fontId="3"/>
  </si>
  <si>
    <t>飯島洋一</t>
    <rPh sb="0" eb="2">
      <t>イイジマ</t>
    </rPh>
    <rPh sb="2" eb="4">
      <t>ヒロカズ</t>
    </rPh>
    <phoneticPr fontId="3"/>
  </si>
  <si>
    <t>飯島英明</t>
    <rPh sb="0" eb="2">
      <t>イイジマ</t>
    </rPh>
    <rPh sb="2" eb="4">
      <t>ヒデアキ</t>
    </rPh>
    <phoneticPr fontId="3"/>
  </si>
  <si>
    <t>本多</t>
    <rPh sb="0" eb="2">
      <t>ホンダ</t>
    </rPh>
    <phoneticPr fontId="3"/>
  </si>
  <si>
    <t>吉岡</t>
    <rPh sb="0" eb="2">
      <t>ヨシオカ</t>
    </rPh>
    <phoneticPr fontId="3"/>
  </si>
  <si>
    <t>原</t>
    <rPh sb="0" eb="1">
      <t>ハラ</t>
    </rPh>
    <phoneticPr fontId="3"/>
  </si>
  <si>
    <t>柳瀬</t>
    <rPh sb="0" eb="2">
      <t>ヤナセ</t>
    </rPh>
    <phoneticPr fontId="3"/>
  </si>
  <si>
    <t>平賀</t>
    <rPh sb="0" eb="2">
      <t>ヒラガ</t>
    </rPh>
    <phoneticPr fontId="3"/>
  </si>
  <si>
    <t>飯島要治</t>
    <rPh sb="0" eb="2">
      <t>イイジマ</t>
    </rPh>
    <rPh sb="2" eb="4">
      <t>ヨウジ</t>
    </rPh>
    <phoneticPr fontId="3"/>
  </si>
  <si>
    <t>竹沢</t>
    <rPh sb="0" eb="2">
      <t>タケザワ</t>
    </rPh>
    <phoneticPr fontId="3"/>
  </si>
  <si>
    <t>波勝</t>
    <rPh sb="0" eb="2">
      <t>ハガチ</t>
    </rPh>
    <phoneticPr fontId="3"/>
  </si>
  <si>
    <t>かまくら</t>
    <phoneticPr fontId="3"/>
  </si>
  <si>
    <t>さがみ</t>
    <phoneticPr fontId="3"/>
  </si>
  <si>
    <t>さがみ</t>
    <phoneticPr fontId="3"/>
  </si>
  <si>
    <t>風速：
風向：　
天気：
◇ｺﾐｯﾃｨ：</t>
    <phoneticPr fontId="3"/>
  </si>
  <si>
    <t>10～ 20  kt</t>
    <phoneticPr fontId="3"/>
  </si>
  <si>
    <t>晴れ</t>
    <rPh sb="0" eb="1">
      <t>ハ</t>
    </rPh>
    <phoneticPr fontId="42"/>
  </si>
  <si>
    <t>ふるたか</t>
    <phoneticPr fontId="3"/>
  </si>
  <si>
    <t>かまくら</t>
    <phoneticPr fontId="3"/>
  </si>
  <si>
    <t>小田原</t>
    <rPh sb="0" eb="3">
      <t>オダワラ</t>
    </rPh>
    <phoneticPr fontId="3"/>
  </si>
  <si>
    <t>平田</t>
    <rPh sb="0" eb="2">
      <t>ヒラタ</t>
    </rPh>
    <phoneticPr fontId="3"/>
  </si>
  <si>
    <t>平賀</t>
    <rPh sb="0" eb="2">
      <t>ヒラガ</t>
    </rPh>
    <phoneticPr fontId="3"/>
  </si>
  <si>
    <t xml:space="preserve"> 北</t>
    <rPh sb="1" eb="2">
      <t>キタ</t>
    </rPh>
    <phoneticPr fontId="3"/>
  </si>
  <si>
    <t xml:space="preserve">【レースコメント】
北の20Ktとかなりハードな海況。本部船寄りからのスタート。灯浮標を4番手で回ったがスピンアップは見合わせて暫くメインジブでスターボのまま南西ブイを目指す。途中スピンアップを決断しおっかなびっくりでも何とか成功し艇速10Kt近くに達する。途中大規模な漁船の艇団を右に見つつこれまたおっかなびっくりでジャイブ。無事帆走し南西ブイはアルファ、シャークXについで3位（だったか？）で回航。一旦タックし暫く沖出し後岸寄りへ向かう。運よく北東への右振れをキャッチしゲイン。灯浮標手前でウィンチトラブルのため1分ほどロスするも何とか着順4位でフィニッシュ。久々にタフなレースでした。コミッティーの皆さまありがとうございました。
（記 ネプチューンXII  小川 ）
</t>
    <rPh sb="319" eb="320">
      <t>キ</t>
    </rPh>
    <rPh sb="332" eb="334">
      <t>オガワ</t>
    </rPh>
    <phoneticPr fontId="3"/>
  </si>
  <si>
    <t>コミッティ</t>
    <phoneticPr fontId="42"/>
  </si>
  <si>
    <t>晴れ</t>
    <rPh sb="0" eb="1">
      <t>ハ</t>
    </rPh>
    <phoneticPr fontId="42"/>
  </si>
  <si>
    <t>12～18  kt</t>
    <phoneticPr fontId="3"/>
  </si>
  <si>
    <t xml:space="preserve">北東 </t>
    <rPh sb="0" eb="2">
      <t>ホクトウ</t>
    </rPh>
    <phoneticPr fontId="3"/>
  </si>
  <si>
    <t>IDEAL</t>
    <phoneticPr fontId="3"/>
  </si>
  <si>
    <t>池辺</t>
    <rPh sb="0" eb="2">
      <t>イケベ</t>
    </rPh>
    <phoneticPr fontId="3"/>
  </si>
  <si>
    <t>小池</t>
    <rPh sb="0" eb="2">
      <t>コイケ</t>
    </rPh>
    <phoneticPr fontId="3"/>
  </si>
  <si>
    <t>林</t>
    <rPh sb="0" eb="1">
      <t>ハヤシ</t>
    </rPh>
    <phoneticPr fontId="3"/>
  </si>
  <si>
    <t>飯島</t>
    <rPh sb="0" eb="2">
      <t>イイジマ</t>
    </rPh>
    <phoneticPr fontId="3"/>
  </si>
  <si>
    <t>竹沢</t>
    <rPh sb="0" eb="2">
      <t>タケザワ</t>
    </rPh>
    <phoneticPr fontId="3"/>
  </si>
  <si>
    <t>IDEAL</t>
    <phoneticPr fontId="3"/>
  </si>
  <si>
    <t>IDEAL</t>
    <phoneticPr fontId="3"/>
  </si>
  <si>
    <t>さがみ</t>
    <phoneticPr fontId="3"/>
  </si>
  <si>
    <t>【レースコメント】  
北東ないし北の風を、ほぼアビームに受けて全艇スターボードタックでスタートし、そのまま ２９４度方向の相模3号ブイを目指す。風は、ブローとラルのむらが強いもので、風速最大約９ｍながら、スピンでは角度的に苦しく、登り切れずジブで帆走する艇が多かった。自艇も途中でジブに切り替えそのままジャイブ回航し、クローズドリーチで帰航、着順2位でフィニッシュした。ＧＰＳ記録を見ると、航跡は往復ともほぼ直線であった。（ＨＡＵＲＡＫＩ，大多和正樹）
【レース委員会より】
浮き相模3号の海況位置から距離を16.7NM⇒16.8NMへ変更。TA値記載に不備があり修正。（2018.11.24）</t>
    <rPh sb="240" eb="241">
      <t>ウ</t>
    </rPh>
    <rPh sb="242" eb="244">
      <t>サガミ</t>
    </rPh>
    <rPh sb="245" eb="246">
      <t>ゴウ</t>
    </rPh>
    <rPh sb="247" eb="249">
      <t>カイキョウ</t>
    </rPh>
    <rPh sb="249" eb="251">
      <t>イチ</t>
    </rPh>
    <rPh sb="253" eb="255">
      <t>キョリ</t>
    </rPh>
    <rPh sb="270" eb="272">
      <t>ヘンコウ</t>
    </rPh>
    <rPh sb="275" eb="276">
      <t>チ</t>
    </rPh>
    <phoneticPr fontId="42"/>
  </si>
  <si>
    <t>RET</t>
    <phoneticPr fontId="42"/>
  </si>
  <si>
    <t>リタイヤ</t>
    <phoneticPr fontId="42"/>
  </si>
  <si>
    <t xml:space="preserve"> 北～北東 </t>
    <rPh sb="1" eb="2">
      <t>キタ</t>
    </rPh>
    <rPh sb="3" eb="5">
      <t>ホクトウ</t>
    </rPh>
    <phoneticPr fontId="3"/>
  </si>
  <si>
    <t>曇り</t>
    <rPh sb="0" eb="1">
      <t>クモ</t>
    </rPh>
    <phoneticPr fontId="42"/>
  </si>
  <si>
    <t>コミッティ</t>
    <phoneticPr fontId="42"/>
  </si>
  <si>
    <t>2018年間総合</t>
    <rPh sb="4" eb="6">
      <t>ネンカン</t>
    </rPh>
    <rPh sb="6" eb="8">
      <t>ソウゴウ</t>
    </rPh>
    <phoneticPr fontId="4"/>
  </si>
  <si>
    <t>○</t>
    <phoneticPr fontId="3"/>
  </si>
  <si>
    <t>○</t>
    <phoneticPr fontId="3"/>
  </si>
  <si>
    <t>○</t>
    <phoneticPr fontId="3"/>
  </si>
  <si>
    <t>○</t>
    <phoneticPr fontId="3"/>
  </si>
  <si>
    <t>2018年12月現在</t>
    <rPh sb="4" eb="5">
      <t>ネン</t>
    </rPh>
    <rPh sb="7" eb="8">
      <t>ガツ</t>
    </rPh>
    <rPh sb="8" eb="10">
      <t>ゲンザイ</t>
    </rPh>
    <phoneticPr fontId="4"/>
  </si>
  <si>
    <t>OLD SWING31 ～2018.9まで</t>
    <phoneticPr fontId="3"/>
  </si>
  <si>
    <t>MAT1010 2018.12から</t>
    <phoneticPr fontId="3"/>
  </si>
  <si>
    <t>【レースコメント】  
南の微風予報の中、コースはKが選択された。何とか全艇フィニッシュさせようという運営の皆様の恩情が感じられたが、スタートで勝負決まってしまう展開が予想された。北東の微風の中、中央付近からほぼジャストでスタートしたが、スピンUPに手 惑いAlpha、Sharkに先行されてしまう。艇速が上がらないままKマークを回航。帰りは20度振れる風の中リーチで赤白を目指す。最後に上りになり、先行艇に追いつくも着順3位修正3位に終わった。コミッティー泣かせの風の中の運営ありがとうございました。Kamakura3　尾山記
【レース委員会より】
公示のAコースからコース変更しました。理由は、セーリングワールド江の島大会で指定されるレース海面とAコースが干渉しため。また当日は微風となったためKコースとしました。</t>
    <phoneticPr fontId="3"/>
  </si>
  <si>
    <t>12.17版</t>
    <rPh sb="5" eb="6">
      <t>バン</t>
    </rPh>
    <phoneticPr fontId="3"/>
  </si>
  <si>
    <t>未央</t>
    <rPh sb="0" eb="2">
      <t>ミオ</t>
    </rPh>
    <phoneticPr fontId="3"/>
  </si>
  <si>
    <t>清水</t>
    <rPh sb="0" eb="2">
      <t>シミズ</t>
    </rPh>
    <phoneticPr fontId="3"/>
  </si>
  <si>
    <t>山本</t>
    <rPh sb="0" eb="2">
      <t>ヤマモト</t>
    </rPh>
    <phoneticPr fontId="3"/>
  </si>
  <si>
    <t>星野</t>
    <rPh sb="0" eb="1">
      <t>ホシ</t>
    </rPh>
    <rPh sb="1" eb="2">
      <t>ノ</t>
    </rPh>
    <phoneticPr fontId="3"/>
  </si>
  <si>
    <t>村上</t>
    <rPh sb="0" eb="2">
      <t>ムラカミ</t>
    </rPh>
    <phoneticPr fontId="3"/>
  </si>
  <si>
    <t>小松</t>
    <rPh sb="0" eb="2">
      <t>コマツ</t>
    </rPh>
    <phoneticPr fontId="3"/>
  </si>
  <si>
    <t>橋田</t>
    <rPh sb="0" eb="2">
      <t>ハシダ</t>
    </rPh>
    <phoneticPr fontId="3"/>
  </si>
  <si>
    <t>2018/12/18 現在</t>
    <rPh sb="11" eb="13">
      <t>ゲンザイ</t>
    </rPh>
    <phoneticPr fontId="4"/>
  </si>
  <si>
    <t>アルファ</t>
    <phoneticPr fontId="42"/>
  </si>
  <si>
    <t>はやとり</t>
    <phoneticPr fontId="42"/>
  </si>
  <si>
    <t xml:space="preserve">【レースコメント】  船が替わってのデビュー戦。ほとんど練習も出来ずぶっつけ本番。北東から北の風の中、スタートは本部船側から出ようと試みたが下から押出され回りなおし悪くない位置でスタートを切れた。灯浮標を4番手で回ってスピンアップ。先行2艇が上していたので、プロパーコースを快調にランニング。南西ブイをトップでまわることが出来た。アップウインドでは低速が乗らずアルファに抜かれてしまった。灯浮標を回って試験的にコード0を上げるも後続艇に追い上げられ冷や冷やしながらの着順2位でフィニッシュ。なんと修正でデビュー戦を優勝させていただきました。レースを無事終えることが出来ましたのもKYCの方々のおかげです。ありがとうございました。(IDEAL　飯塚)
【レース委員会より】
2019/1/20のコミッティを決定、アルファ(マーク)はやとり(本部）となります。
</t>
    <rPh sb="352" eb="354">
      <t>ケッテイ</t>
    </rPh>
    <rPh sb="369" eb="371">
      <t>ホンブ</t>
    </rPh>
    <phoneticPr fontId="3"/>
  </si>
  <si>
    <t>小網代フリートレース年間成績（確定）</t>
    <rPh sb="10" eb="12">
      <t>ネンカン</t>
    </rPh>
    <rPh sb="12" eb="14">
      <t>セイセキ</t>
    </rPh>
    <rPh sb="15" eb="17">
      <t>カクテイ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</si>
</sst>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0_ "/>
    <numFmt numFmtId="186" formatCode="0.00_);[Red]\(0.00\)"/>
  </numFmts>
  <fonts count="85">
    <font>
      <sz val="11"/>
      <color theme="1"/>
      <name val="ＭＳ Ｐゴシック"/>
      <family val="3"/>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sz val="12"/>
      <color indexed="8"/>
      <name val="ＭＳ Ｐゴシック"/>
      <family val="3"/>
      <charset val="128"/>
    </font>
    <font>
      <b/>
      <sz val="12"/>
      <name val="ＭＳ 明朝"/>
      <family val="1"/>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sz val="11"/>
      <color indexed="8"/>
      <name val="ＭＳ 明朝"/>
      <family val="1"/>
      <charset val="128"/>
    </font>
    <font>
      <sz val="12"/>
      <name val="ＭＳ Ｐゴシック"/>
      <family val="3"/>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
      <color rgb="FFFF0000"/>
      <name val="ＭＳ 明朝"/>
      <family val="1"/>
      <charset val="128"/>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b/>
      <sz val="12"/>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2"/>
      <name val="ＭＳ Ｐゴシック"/>
      <family val="3"/>
      <charset val="128"/>
      <scheme val="minor"/>
    </font>
    <font>
      <sz val="12"/>
      <color rgb="FF00B0F0"/>
      <name val="ＭＳ 明朝"/>
      <family val="1"/>
      <charset val="128"/>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sz val="11"/>
      <color theme="1"/>
      <name val="HGPｺﾞｼｯｸM"/>
      <family val="3"/>
      <charset val="128"/>
    </font>
    <font>
      <b/>
      <sz val="16"/>
      <color theme="1"/>
      <name val="HGSｺﾞｼｯｸM"/>
      <family val="3"/>
      <charset val="128"/>
    </font>
    <font>
      <b/>
      <sz val="12"/>
      <color theme="1"/>
      <name val="HGSｺﾞｼｯｸM"/>
      <family val="3"/>
      <charset val="128"/>
    </font>
    <font>
      <sz val="10"/>
      <color rgb="FFFF0000"/>
      <name val="HGSｺﾞｼｯｸM"/>
      <family val="3"/>
      <charset val="128"/>
    </font>
    <font>
      <sz val="10.5"/>
      <name val="HGSｺﾞｼｯｸM"/>
      <family val="3"/>
      <charset val="128"/>
    </font>
    <font>
      <b/>
      <sz val="16"/>
      <name val="HGSｺﾞｼｯｸM"/>
      <family val="3"/>
      <charset val="128"/>
    </font>
    <font>
      <b/>
      <sz val="11"/>
      <color theme="1"/>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2"/>
      <color rgb="FF0070C0"/>
      <name val="ＭＳ Ｐゴシック"/>
      <family val="3"/>
      <charset val="128"/>
    </font>
    <font>
      <sz val="11"/>
      <color rgb="FF0070C0"/>
      <name val="ＭＳ Ｐゴシック"/>
      <family val="3"/>
      <charset val="128"/>
      <scheme val="minor"/>
    </font>
    <font>
      <sz val="11"/>
      <color rgb="FF0070C0"/>
      <name val="ＭＳ 明朝"/>
      <family val="1"/>
      <charset val="128"/>
    </font>
    <font>
      <i/>
      <sz val="11"/>
      <color theme="0" tint="-0.499984740745262"/>
      <name val="ＭＳ 明朝"/>
      <family val="1"/>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26"/>
      </patternFill>
    </fill>
    <fill>
      <patternFill patternType="solid">
        <fgColor theme="0"/>
        <bgColor indexed="64"/>
      </patternFill>
    </fill>
    <fill>
      <patternFill patternType="solid">
        <fgColor theme="0" tint="-0.14999847407452621"/>
        <bgColor indexed="64"/>
      </patternFill>
    </fill>
    <fill>
      <patternFill patternType="solid">
        <fgColor theme="0"/>
        <bgColor indexed="26"/>
      </patternFill>
    </fill>
    <fill>
      <patternFill patternType="gray125">
        <bgColor theme="0"/>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41"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6"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40" fillId="0" borderId="5" applyNumberFormat="0" applyFill="0" applyAlignment="0" applyProtection="0">
      <alignment vertical="center"/>
    </xf>
    <xf numFmtId="0" fontId="39" fillId="0" borderId="6" applyNumberFormat="0" applyFill="0" applyAlignment="0" applyProtection="0">
      <alignment vertical="center"/>
    </xf>
    <xf numFmtId="0" fontId="38" fillId="0" borderId="7" applyNumberFormat="0" applyFill="0" applyAlignment="0" applyProtection="0">
      <alignment vertical="center"/>
    </xf>
    <xf numFmtId="0" fontId="38"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44" fillId="0" borderId="0">
      <alignment vertical="center"/>
    </xf>
    <xf numFmtId="0" fontId="16" fillId="0" borderId="0"/>
    <xf numFmtId="0" fontId="6" fillId="0" borderId="0"/>
    <xf numFmtId="0" fontId="37" fillId="0" borderId="0"/>
    <xf numFmtId="0" fontId="36" fillId="4" borderId="0" applyNumberFormat="0" applyBorder="0" applyAlignment="0" applyProtection="0">
      <alignment vertical="center"/>
    </xf>
  </cellStyleXfs>
  <cellXfs count="715">
    <xf numFmtId="0" fontId="0" fillId="0" borderId="0" xfId="0">
      <alignment vertical="center"/>
    </xf>
    <xf numFmtId="0" fontId="2" fillId="0" borderId="0" xfId="0" applyFont="1" applyAlignment="1"/>
    <xf numFmtId="0" fontId="6" fillId="0" borderId="0" xfId="0" applyFont="1" applyAlignment="1"/>
    <xf numFmtId="0" fontId="8" fillId="0" borderId="0" xfId="0" applyFont="1" applyAlignment="1"/>
    <xf numFmtId="0" fontId="10" fillId="0" borderId="0" xfId="0" applyFont="1" applyAlignment="1"/>
    <xf numFmtId="0" fontId="12" fillId="0" borderId="14" xfId="0" applyFont="1" applyBorder="1" applyAlignment="1">
      <alignment horizontal="center"/>
    </xf>
    <xf numFmtId="176" fontId="12" fillId="0" borderId="14" xfId="0" applyNumberFormat="1" applyFont="1" applyBorder="1" applyAlignment="1">
      <alignment horizontal="center"/>
    </xf>
    <xf numFmtId="0" fontId="10" fillId="0" borderId="0" xfId="0" applyFont="1" applyFill="1" applyBorder="1" applyAlignment="1"/>
    <xf numFmtId="176" fontId="10" fillId="0" borderId="0" xfId="0" applyNumberFormat="1" applyFont="1" applyFill="1" applyBorder="1" applyAlignment="1"/>
    <xf numFmtId="0" fontId="0" fillId="0" borderId="0" xfId="0" applyFont="1">
      <alignment vertical="center"/>
    </xf>
    <xf numFmtId="176" fontId="12" fillId="0" borderId="15" xfId="0" applyNumberFormat="1" applyFont="1" applyFill="1" applyBorder="1" applyAlignment="1">
      <alignment horizontal="center"/>
    </xf>
    <xf numFmtId="0" fontId="0" fillId="0" borderId="16" xfId="0" applyFont="1" applyFill="1" applyBorder="1" applyAlignment="1">
      <alignment horizontal="center" vertical="center"/>
    </xf>
    <xf numFmtId="0" fontId="0"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6" fontId="12" fillId="0" borderId="0" xfId="0" applyNumberFormat="1" applyFont="1" applyFill="1" applyBorder="1" applyAlignment="1">
      <alignment horizontal="center"/>
    </xf>
    <xf numFmtId="0" fontId="0" fillId="0" borderId="21" xfId="0" applyBorder="1">
      <alignment vertical="center"/>
    </xf>
    <xf numFmtId="0" fontId="0" fillId="0" borderId="22" xfId="0" applyBorder="1">
      <alignment vertical="center"/>
    </xf>
    <xf numFmtId="0" fontId="2" fillId="0" borderId="16" xfId="0" applyFont="1" applyBorder="1" applyAlignment="1">
      <alignment horizontal="center"/>
    </xf>
    <xf numFmtId="178" fontId="6" fillId="0" borderId="10" xfId="0" applyNumberFormat="1" applyFont="1" applyFill="1" applyBorder="1" applyAlignment="1"/>
    <xf numFmtId="181" fontId="6" fillId="0" borderId="21" xfId="0" applyNumberFormat="1" applyFont="1" applyFill="1" applyBorder="1" applyAlignment="1">
      <alignment horizontal="right"/>
    </xf>
    <xf numFmtId="0" fontId="2" fillId="0" borderId="0" xfId="0" applyFont="1" applyFill="1" applyAlignment="1"/>
    <xf numFmtId="0" fontId="46" fillId="0" borderId="0" xfId="0" applyFont="1" applyFill="1" applyAlignment="1"/>
    <xf numFmtId="0" fontId="8" fillId="0" borderId="29" xfId="0" applyFont="1" applyFill="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0" fillId="0" borderId="20" xfId="0" applyBorder="1" applyAlignment="1">
      <alignment horizontal="center" vertical="center"/>
    </xf>
    <xf numFmtId="0" fontId="14" fillId="0" borderId="30" xfId="0" applyFont="1" applyFill="1" applyBorder="1" applyAlignment="1">
      <alignment horizontal="center"/>
    </xf>
    <xf numFmtId="0" fontId="14" fillId="0" borderId="31" xfId="0" applyFont="1" applyFill="1" applyBorder="1" applyAlignment="1">
      <alignment horizontal="center"/>
    </xf>
    <xf numFmtId="0" fontId="10" fillId="0" borderId="14" xfId="0" applyFont="1" applyFill="1" applyBorder="1" applyAlignment="1"/>
    <xf numFmtId="181" fontId="6" fillId="0" borderId="10" xfId="0" applyNumberFormat="1" applyFont="1" applyFill="1" applyBorder="1" applyAlignment="1">
      <alignment horizontal="right" vertical="top"/>
    </xf>
    <xf numFmtId="0" fontId="12" fillId="0" borderId="18" xfId="0" applyNumberFormat="1" applyFont="1" applyFill="1" applyBorder="1" applyAlignment="1">
      <alignment horizontal="center"/>
    </xf>
    <xf numFmtId="0" fontId="0" fillId="0" borderId="17" xfId="0" applyBorder="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49" fillId="0" borderId="0" xfId="0" applyFont="1" applyAlignment="1">
      <alignment horizontal="center" vertical="center"/>
    </xf>
    <xf numFmtId="180" fontId="2" fillId="0" borderId="18" xfId="0" applyNumberFormat="1" applyFont="1" applyBorder="1" applyAlignment="1">
      <alignment horizontal="center" vertical="center"/>
    </xf>
    <xf numFmtId="180" fontId="2" fillId="0" borderId="19" xfId="0" applyNumberFormat="1" applyFont="1" applyBorder="1" applyAlignment="1">
      <alignment horizontal="center" vertical="center"/>
    </xf>
    <xf numFmtId="0" fontId="8" fillId="0" borderId="14" xfId="0" applyFont="1" applyFill="1" applyBorder="1" applyAlignment="1">
      <alignment horizontal="center"/>
    </xf>
    <xf numFmtId="0" fontId="0" fillId="0" borderId="14" xfId="0" applyBorder="1">
      <alignment vertical="center"/>
    </xf>
    <xf numFmtId="0" fontId="6" fillId="0" borderId="31" xfId="0" applyFont="1" applyFill="1" applyBorder="1" applyAlignment="1">
      <alignment horizontal="center"/>
    </xf>
    <xf numFmtId="0" fontId="15" fillId="0" borderId="0" xfId="0" applyFont="1" applyFill="1" applyAlignment="1"/>
    <xf numFmtId="0" fontId="14" fillId="0" borderId="42" xfId="0" applyFont="1" applyFill="1" applyBorder="1" applyAlignment="1">
      <alignment horizontal="center"/>
    </xf>
    <xf numFmtId="0" fontId="8" fillId="0" borderId="43" xfId="0" applyFont="1" applyFill="1" applyBorder="1" applyAlignment="1">
      <alignment horizontal="center"/>
    </xf>
    <xf numFmtId="0" fontId="8" fillId="0" borderId="44" xfId="0" applyFont="1" applyFill="1" applyBorder="1" applyAlignment="1">
      <alignment horizontal="center"/>
    </xf>
    <xf numFmtId="178" fontId="6" fillId="0" borderId="36" xfId="0" applyNumberFormat="1" applyFont="1" applyFill="1" applyBorder="1" applyAlignment="1"/>
    <xf numFmtId="178" fontId="6" fillId="0" borderId="45" xfId="0" applyNumberFormat="1" applyFont="1" applyFill="1" applyBorder="1" applyAlignment="1"/>
    <xf numFmtId="178" fontId="6" fillId="0" borderId="22" xfId="0" applyNumberFormat="1" applyFont="1" applyFill="1" applyBorder="1" applyAlignment="1"/>
    <xf numFmtId="178" fontId="6" fillId="0" borderId="33" xfId="0" applyNumberFormat="1" applyFont="1" applyFill="1" applyBorder="1" applyAlignment="1"/>
    <xf numFmtId="178" fontId="6" fillId="0" borderId="21" xfId="0" applyNumberFormat="1" applyFont="1" applyFill="1" applyBorder="1" applyAlignment="1"/>
    <xf numFmtId="181" fontId="6" fillId="0" borderId="36" xfId="0" applyNumberFormat="1" applyFont="1" applyFill="1" applyBorder="1" applyAlignment="1">
      <alignment horizontal="right" vertical="top"/>
    </xf>
    <xf numFmtId="181" fontId="6" fillId="0" borderId="45" xfId="0" applyNumberFormat="1" applyFont="1" applyFill="1" applyBorder="1" applyAlignment="1">
      <alignment horizontal="right"/>
    </xf>
    <xf numFmtId="181" fontId="6" fillId="0" borderId="22" xfId="0" applyNumberFormat="1" applyFont="1" applyFill="1" applyBorder="1" applyAlignment="1">
      <alignment horizontal="right" vertical="top"/>
    </xf>
    <xf numFmtId="181" fontId="6" fillId="0" borderId="33" xfId="0" applyNumberFormat="1" applyFont="1" applyFill="1" applyBorder="1" applyAlignment="1">
      <alignment horizontal="right" vertical="top"/>
    </xf>
    <xf numFmtId="0" fontId="50" fillId="0" borderId="0" xfId="0" applyFont="1">
      <alignment vertical="center"/>
    </xf>
    <xf numFmtId="0" fontId="0" fillId="0" borderId="14" xfId="0" applyFont="1" applyBorder="1">
      <alignment vertical="center"/>
    </xf>
    <xf numFmtId="0" fontId="0" fillId="0" borderId="46" xfId="0" applyFont="1" applyBorder="1" applyAlignment="1">
      <alignment horizontal="center" vertical="center"/>
    </xf>
    <xf numFmtId="0" fontId="0" fillId="0" borderId="17" xfId="0" applyFont="1" applyFill="1" applyBorder="1">
      <alignment vertical="center"/>
    </xf>
    <xf numFmtId="0" fontId="0" fillId="0" borderId="33" xfId="0" applyBorder="1">
      <alignment vertical="center"/>
    </xf>
    <xf numFmtId="0" fontId="0" fillId="0" borderId="0" xfId="0" applyAlignment="1">
      <alignment horizontal="center" vertical="center"/>
    </xf>
    <xf numFmtId="56" fontId="2" fillId="0" borderId="19" xfId="0" applyNumberFormat="1" applyFont="1" applyBorder="1" applyAlignment="1">
      <alignment horizontal="right" vertical="center"/>
    </xf>
    <xf numFmtId="56" fontId="2" fillId="0" borderId="20" xfId="0" applyNumberFormat="1" applyFont="1" applyBorder="1" applyAlignment="1">
      <alignment horizontal="right" vertical="center"/>
    </xf>
    <xf numFmtId="0" fontId="12" fillId="0" borderId="20" xfId="0" applyNumberFormat="1" applyFont="1" applyFill="1" applyBorder="1" applyAlignment="1">
      <alignment horizontal="center"/>
    </xf>
    <xf numFmtId="0" fontId="0" fillId="0" borderId="32" xfId="0" applyFont="1" applyBorder="1" applyAlignment="1">
      <alignment horizontal="center" vertical="center"/>
    </xf>
    <xf numFmtId="0" fontId="0" fillId="0" borderId="16" xfId="0" applyBorder="1" applyAlignment="1">
      <alignment horizontal="center" vertical="center"/>
    </xf>
    <xf numFmtId="0" fontId="0" fillId="0" borderId="48" xfId="0" applyBorder="1">
      <alignment vertical="center"/>
    </xf>
    <xf numFmtId="0" fontId="51" fillId="0" borderId="0" xfId="0" applyFont="1">
      <alignment vertical="center"/>
    </xf>
    <xf numFmtId="0" fontId="17" fillId="0" borderId="0" xfId="0" applyFont="1" applyAlignment="1"/>
    <xf numFmtId="0" fontId="8" fillId="0" borderId="0" xfId="0" applyFont="1" applyAlignment="1">
      <alignment horizontal="center"/>
    </xf>
    <xf numFmtId="0" fontId="8" fillId="0" borderId="0" xfId="0" applyFont="1" applyAlignment="1">
      <alignment shrinkToFit="1"/>
    </xf>
    <xf numFmtId="56" fontId="8" fillId="0" borderId="58" xfId="0" applyNumberFormat="1" applyFont="1" applyBorder="1" applyAlignment="1">
      <alignment vertical="center" shrinkToFit="1"/>
    </xf>
    <xf numFmtId="183" fontId="8" fillId="0" borderId="59" xfId="0" applyNumberFormat="1" applyFont="1" applyBorder="1" applyAlignment="1">
      <alignment vertical="center" shrinkToFit="1"/>
    </xf>
    <xf numFmtId="183" fontId="8" fillId="0" borderId="60" xfId="0" applyNumberFormat="1" applyFont="1" applyBorder="1" applyAlignment="1">
      <alignment vertical="center" shrinkToFit="1"/>
    </xf>
    <xf numFmtId="0" fontId="6" fillId="0" borderId="61" xfId="0" applyFont="1" applyBorder="1" applyAlignment="1">
      <alignment horizontal="center" vertical="center" shrinkToFit="1"/>
    </xf>
    <xf numFmtId="0" fontId="8" fillId="0" borderId="62" xfId="0" applyFont="1" applyBorder="1" applyAlignment="1">
      <alignment horizontal="center" vertical="center" shrinkToFit="1"/>
    </xf>
    <xf numFmtId="176" fontId="6" fillId="0" borderId="63" xfId="0" applyNumberFormat="1"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5" xfId="0" applyFont="1" applyBorder="1" applyAlignment="1">
      <alignment horizontal="center" vertical="center" shrinkToFit="1"/>
    </xf>
    <xf numFmtId="176" fontId="6" fillId="0" borderId="66" xfId="0" applyNumberFormat="1"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69" xfId="0" applyFont="1" applyBorder="1" applyAlignment="1">
      <alignment horizontal="center" vertical="center" shrinkToFit="1"/>
    </xf>
    <xf numFmtId="176" fontId="6" fillId="0" borderId="67" xfId="0" applyNumberFormat="1" applyFont="1" applyBorder="1" applyAlignment="1">
      <alignment horizontal="center" vertical="center" shrinkToFit="1"/>
    </xf>
    <xf numFmtId="176" fontId="6" fillId="0" borderId="69" xfId="0" applyNumberFormat="1" applyFont="1" applyBorder="1" applyAlignment="1">
      <alignment horizontal="center" vertical="center" shrinkToFit="1"/>
    </xf>
    <xf numFmtId="176" fontId="6" fillId="0" borderId="70" xfId="0" applyNumberFormat="1" applyFont="1" applyBorder="1" applyAlignment="1">
      <alignment horizontal="center" vertical="center" shrinkToFit="1"/>
    </xf>
    <xf numFmtId="176" fontId="6" fillId="0" borderId="71" xfId="0" applyNumberFormat="1" applyFont="1" applyBorder="1" applyAlignment="1">
      <alignment horizontal="center" vertical="center" shrinkToFit="1"/>
    </xf>
    <xf numFmtId="0" fontId="6" fillId="0" borderId="72" xfId="0" applyFont="1" applyBorder="1" applyAlignment="1">
      <alignment horizontal="center" vertical="center" shrinkToFit="1"/>
    </xf>
    <xf numFmtId="176" fontId="6" fillId="0" borderId="73" xfId="0" applyNumberFormat="1" applyFont="1" applyBorder="1" applyAlignment="1">
      <alignment horizontal="center" vertical="center" shrinkToFit="1"/>
    </xf>
    <xf numFmtId="176" fontId="6" fillId="0" borderId="74" xfId="0" applyNumberFormat="1" applyFont="1" applyBorder="1" applyAlignment="1">
      <alignment horizontal="center" vertical="center" shrinkToFit="1"/>
    </xf>
    <xf numFmtId="0" fontId="6" fillId="0" borderId="75" xfId="0" applyFont="1" applyBorder="1" applyAlignment="1">
      <alignment horizontal="center" vertical="center" shrinkToFit="1"/>
    </xf>
    <xf numFmtId="176" fontId="6" fillId="0" borderId="76" xfId="0" applyNumberFormat="1" applyFont="1" applyBorder="1" applyAlignment="1">
      <alignment horizontal="center" vertical="center" shrinkToFit="1"/>
    </xf>
    <xf numFmtId="0" fontId="6" fillId="0" borderId="0" xfId="0" applyFont="1" applyAlignment="1">
      <alignment shrinkToFit="1"/>
    </xf>
    <xf numFmtId="176" fontId="6" fillId="0" borderId="0" xfId="0" applyNumberFormat="1" applyFont="1" applyBorder="1" applyAlignment="1">
      <alignment horizontal="center" vertical="center" shrinkToFit="1"/>
    </xf>
    <xf numFmtId="0" fontId="6" fillId="0" borderId="0" xfId="0" applyFont="1" applyBorder="1" applyAlignment="1">
      <alignment horizontal="center" vertical="center" shrinkToFit="1"/>
    </xf>
    <xf numFmtId="0" fontId="0" fillId="0" borderId="0" xfId="0" applyAlignment="1"/>
    <xf numFmtId="14" fontId="0" fillId="0" borderId="14" xfId="0" applyNumberFormat="1" applyBorder="1" applyAlignment="1"/>
    <xf numFmtId="14" fontId="0" fillId="0" borderId="0" xfId="0" applyNumberFormat="1" applyAlignment="1"/>
    <xf numFmtId="56" fontId="7" fillId="0" borderId="58" xfId="0" applyNumberFormat="1" applyFont="1" applyBorder="1" applyAlignment="1">
      <alignment vertical="center" shrinkToFit="1"/>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0" fontId="0" fillId="24" borderId="14" xfId="0" applyFont="1" applyFill="1" applyBorder="1" applyAlignment="1" applyProtection="1">
      <alignment horizontal="left" indent="1"/>
    </xf>
    <xf numFmtId="0" fontId="13" fillId="24" borderId="14" xfId="0" applyFont="1" applyFill="1" applyBorder="1" applyAlignment="1" applyProtection="1"/>
    <xf numFmtId="185" fontId="0" fillId="24" borderId="14" xfId="0" applyNumberFormat="1" applyFill="1" applyBorder="1" applyAlignment="1" applyProtection="1"/>
    <xf numFmtId="185" fontId="10" fillId="0" borderId="14" xfId="0" applyNumberFormat="1" applyFont="1" applyFill="1" applyBorder="1" applyAlignment="1"/>
    <xf numFmtId="179" fontId="0" fillId="24" borderId="14" xfId="0" applyNumberFormat="1" applyFill="1" applyBorder="1" applyAlignment="1"/>
    <xf numFmtId="179" fontId="10" fillId="0" borderId="14" xfId="0" applyNumberFormat="1" applyFont="1" applyFill="1" applyBorder="1" applyAlignment="1"/>
    <xf numFmtId="0" fontId="21" fillId="0" borderId="0" xfId="0" applyFont="1" applyBorder="1" applyAlignment="1">
      <alignment horizontal="right" vertical="center"/>
    </xf>
    <xf numFmtId="31" fontId="22" fillId="0" borderId="0" xfId="0" applyNumberFormat="1" applyFont="1" applyBorder="1" applyAlignment="1">
      <alignment horizontal="right" vertical="center"/>
    </xf>
    <xf numFmtId="0" fontId="52" fillId="0" borderId="0" xfId="0" applyFont="1">
      <alignment vertical="center"/>
    </xf>
    <xf numFmtId="0" fontId="21" fillId="0" borderId="0" xfId="0" applyFont="1" applyBorder="1" applyAlignment="1">
      <alignment horizontal="center" vertical="center"/>
    </xf>
    <xf numFmtId="0" fontId="21" fillId="0" borderId="93" xfId="0" applyFont="1" applyBorder="1" applyAlignment="1">
      <alignment horizontal="center" vertical="center"/>
    </xf>
    <xf numFmtId="0" fontId="52" fillId="0" borderId="0" xfId="0" applyFont="1" applyAlignment="1">
      <alignment horizontal="center" vertical="center"/>
    </xf>
    <xf numFmtId="0" fontId="52" fillId="0" borderId="14" xfId="0" applyFont="1" applyBorder="1" applyAlignment="1">
      <alignment horizontal="center" vertical="center"/>
    </xf>
    <xf numFmtId="0" fontId="52" fillId="25" borderId="61" xfId="0" applyFont="1" applyFill="1" applyBorder="1" applyAlignment="1">
      <alignment horizontal="right" vertical="center"/>
    </xf>
    <xf numFmtId="0" fontId="52" fillId="26" borderId="14" xfId="0" applyFont="1" applyFill="1" applyBorder="1" applyAlignment="1">
      <alignment horizontal="left" vertical="center"/>
    </xf>
    <xf numFmtId="0" fontId="52" fillId="0" borderId="0" xfId="0" applyFont="1" applyAlignment="1">
      <alignment horizontal="right" vertical="center"/>
    </xf>
    <xf numFmtId="0" fontId="22" fillId="0" borderId="0" xfId="0" applyFont="1" applyBorder="1" applyAlignment="1">
      <alignment horizontal="left" vertical="center"/>
    </xf>
    <xf numFmtId="0" fontId="52" fillId="0" borderId="0" xfId="0" applyFont="1" applyAlignment="1">
      <alignment horizontal="left" vertical="center"/>
    </xf>
    <xf numFmtId="183" fontId="24" fillId="0" borderId="59" xfId="0" applyNumberFormat="1" applyFont="1" applyBorder="1" applyAlignment="1">
      <alignment vertical="center" wrapText="1" shrinkToFit="1"/>
    </xf>
    <xf numFmtId="14" fontId="11" fillId="0" borderId="0" xfId="0" quotePrefix="1" applyNumberFormat="1" applyFont="1" applyAlignment="1">
      <alignment horizontal="right" vertical="center"/>
    </xf>
    <xf numFmtId="0" fontId="20" fillId="0" borderId="14" xfId="0" applyFont="1" applyFill="1" applyBorder="1" applyAlignment="1" applyProtection="1"/>
    <xf numFmtId="176" fontId="20" fillId="0" borderId="14" xfId="0" applyNumberFormat="1" applyFont="1" applyFill="1" applyBorder="1" applyAlignment="1" applyProtection="1"/>
    <xf numFmtId="0" fontId="53" fillId="0" borderId="14" xfId="0" applyFont="1" applyFill="1" applyBorder="1" applyAlignment="1"/>
    <xf numFmtId="0" fontId="13" fillId="0" borderId="14" xfId="0" applyFont="1" applyFill="1" applyBorder="1" applyAlignment="1" applyProtection="1"/>
    <xf numFmtId="0" fontId="54" fillId="0" borderId="14" xfId="0" applyFont="1" applyFill="1" applyBorder="1" applyAlignment="1" applyProtection="1">
      <alignment horizontal="left" indent="1"/>
    </xf>
    <xf numFmtId="179" fontId="0" fillId="0" borderId="14" xfId="0" applyNumberFormat="1" applyFill="1" applyBorder="1" applyAlignment="1"/>
    <xf numFmtId="0" fontId="0" fillId="0" borderId="0" xfId="0" applyFill="1">
      <alignment vertical="center"/>
    </xf>
    <xf numFmtId="0" fontId="20" fillId="0" borderId="14" xfId="0" applyFont="1" applyFill="1" applyBorder="1" applyAlignment="1"/>
    <xf numFmtId="185" fontId="0" fillId="0" borderId="14" xfId="0" applyNumberFormat="1" applyFill="1" applyBorder="1" applyAlignment="1" applyProtection="1"/>
    <xf numFmtId="0" fontId="6" fillId="0" borderId="14" xfId="0" applyFont="1" applyFill="1" applyBorder="1" applyAlignment="1" applyProtection="1"/>
    <xf numFmtId="0" fontId="0" fillId="0" borderId="14" xfId="0" applyFont="1" applyBorder="1" applyAlignment="1">
      <alignment horizontal="left" vertical="center"/>
    </xf>
    <xf numFmtId="0" fontId="0" fillId="26" borderId="14" xfId="0" applyFont="1" applyFill="1" applyBorder="1" applyAlignment="1">
      <alignment horizontal="left" vertical="center"/>
    </xf>
    <xf numFmtId="0" fontId="0" fillId="0" borderId="33" xfId="0" applyFont="1" applyBorder="1">
      <alignment vertical="center"/>
    </xf>
    <xf numFmtId="0" fontId="0" fillId="0" borderId="33" xfId="0" applyFont="1" applyBorder="1" applyAlignment="1">
      <alignment horizontal="left" vertical="center"/>
    </xf>
    <xf numFmtId="0" fontId="0" fillId="26" borderId="33" xfId="0" applyFont="1" applyFill="1" applyBorder="1" applyAlignment="1">
      <alignment horizontal="left" vertical="center"/>
    </xf>
    <xf numFmtId="56" fontId="2" fillId="0" borderId="0" xfId="0" applyNumberFormat="1" applyFont="1" applyBorder="1" applyAlignment="1">
      <alignment horizontal="right" vertical="center"/>
    </xf>
    <xf numFmtId="0" fontId="20" fillId="0" borderId="14" xfId="0" applyNumberFormat="1" applyFont="1" applyFill="1" applyBorder="1" applyAlignment="1" applyProtection="1"/>
    <xf numFmtId="0" fontId="6" fillId="0" borderId="95" xfId="0" applyFont="1" applyBorder="1" applyAlignment="1">
      <alignment horizontal="center" vertical="center" shrinkToFit="1"/>
    </xf>
    <xf numFmtId="176" fontId="6" fillId="0" borderId="95" xfId="0" applyNumberFormat="1" applyFont="1" applyBorder="1" applyAlignment="1">
      <alignment horizontal="center" vertical="center" shrinkToFit="1"/>
    </xf>
    <xf numFmtId="176" fontId="6" fillId="0" borderId="96" xfId="0" applyNumberFormat="1" applyFont="1" applyBorder="1" applyAlignment="1">
      <alignment horizontal="center" vertical="center" shrinkToFit="1"/>
    </xf>
    <xf numFmtId="0" fontId="8" fillId="0" borderId="29" xfId="0" applyNumberFormat="1" applyFont="1" applyFill="1" applyBorder="1" applyAlignment="1" applyProtection="1">
      <alignment horizontal="center" vertical="center" shrinkToFit="1"/>
    </xf>
    <xf numFmtId="0" fontId="8" fillId="0" borderId="14" xfId="0" applyNumberFormat="1" applyFont="1" applyFill="1" applyBorder="1" applyAlignment="1" applyProtection="1">
      <alignment horizontal="center" vertical="center" shrinkToFit="1"/>
    </xf>
    <xf numFmtId="0" fontId="19" fillId="0" borderId="14" xfId="0" applyNumberFormat="1" applyFont="1" applyFill="1" applyBorder="1" applyAlignment="1" applyProtection="1">
      <alignment horizontal="center" vertical="center" shrinkToFit="1"/>
    </xf>
    <xf numFmtId="0" fontId="19" fillId="0" borderId="77" xfId="0" applyNumberFormat="1" applyFont="1" applyFill="1" applyBorder="1" applyAlignment="1" applyProtection="1">
      <alignment horizontal="center" vertical="center" shrinkToFit="1"/>
    </xf>
    <xf numFmtId="0" fontId="19" fillId="0" borderId="14" xfId="0" applyFont="1" applyFill="1" applyBorder="1" applyAlignment="1" applyProtection="1">
      <alignment horizontal="center" vertical="center" shrinkToFit="1"/>
    </xf>
    <xf numFmtId="2" fontId="8" fillId="0" borderId="43" xfId="0" applyNumberFormat="1" applyFont="1" applyFill="1" applyBorder="1" applyAlignment="1" applyProtection="1">
      <alignment vertical="center"/>
    </xf>
    <xf numFmtId="2" fontId="8" fillId="0" borderId="29" xfId="0" applyNumberFormat="1" applyFont="1" applyFill="1" applyBorder="1" applyAlignment="1" applyProtection="1">
      <alignment vertical="center" shrinkToFit="1"/>
    </xf>
    <xf numFmtId="2" fontId="8" fillId="0" borderId="44" xfId="0" applyNumberFormat="1" applyFont="1" applyFill="1" applyBorder="1" applyAlignment="1" applyProtection="1">
      <alignment vertical="center"/>
    </xf>
    <xf numFmtId="182" fontId="8" fillId="0" borderId="97" xfId="0" applyNumberFormat="1" applyFont="1" applyFill="1" applyBorder="1" applyAlignment="1">
      <alignment vertical="center"/>
    </xf>
    <xf numFmtId="182" fontId="8" fillId="0" borderId="29" xfId="0" applyNumberFormat="1" applyFont="1" applyFill="1" applyBorder="1" applyAlignment="1">
      <alignment vertical="center"/>
    </xf>
    <xf numFmtId="182" fontId="8" fillId="0" borderId="44" xfId="0" applyNumberFormat="1" applyFont="1" applyFill="1" applyBorder="1" applyAlignment="1">
      <alignment vertical="center"/>
    </xf>
    <xf numFmtId="2" fontId="8" fillId="0" borderId="16" xfId="0" applyNumberFormat="1" applyFont="1" applyFill="1" applyBorder="1" applyAlignment="1" applyProtection="1">
      <alignment vertical="center"/>
    </xf>
    <xf numFmtId="2" fontId="8" fillId="0" borderId="14" xfId="0" applyNumberFormat="1" applyFont="1" applyFill="1" applyBorder="1" applyAlignment="1" applyProtection="1">
      <alignment vertical="center" shrinkToFit="1"/>
    </xf>
    <xf numFmtId="2" fontId="8" fillId="0" borderId="17" xfId="0" applyNumberFormat="1" applyFont="1" applyFill="1" applyBorder="1" applyAlignment="1" applyProtection="1">
      <alignment vertical="center"/>
    </xf>
    <xf numFmtId="182" fontId="8" fillId="0" borderId="98" xfId="0" applyNumberFormat="1" applyFont="1" applyFill="1" applyBorder="1" applyAlignment="1">
      <alignment vertical="center"/>
    </xf>
    <xf numFmtId="182" fontId="8" fillId="0" borderId="14" xfId="0" applyNumberFormat="1" applyFont="1" applyFill="1" applyBorder="1" applyAlignment="1">
      <alignment vertical="center"/>
    </xf>
    <xf numFmtId="182" fontId="8" fillId="0" borderId="17" xfId="0" applyNumberFormat="1" applyFont="1" applyFill="1" applyBorder="1" applyAlignment="1">
      <alignment vertical="center"/>
    </xf>
    <xf numFmtId="2" fontId="8" fillId="0" borderId="99" xfId="0" applyNumberFormat="1" applyFont="1" applyFill="1" applyBorder="1" applyAlignment="1" applyProtection="1">
      <alignment vertical="center"/>
    </xf>
    <xf numFmtId="2" fontId="8" fillId="0" borderId="77" xfId="0" applyNumberFormat="1" applyFont="1" applyFill="1" applyBorder="1" applyAlignment="1" applyProtection="1">
      <alignment vertical="center" shrinkToFit="1"/>
    </xf>
    <xf numFmtId="2" fontId="8" fillId="0" borderId="100" xfId="0" applyNumberFormat="1" applyFont="1" applyFill="1" applyBorder="1" applyAlignment="1" applyProtection="1">
      <alignment vertical="center"/>
    </xf>
    <xf numFmtId="182" fontId="8" fillId="0" borderId="101" xfId="0" applyNumberFormat="1" applyFont="1" applyFill="1" applyBorder="1" applyAlignment="1">
      <alignment vertical="center"/>
    </xf>
    <xf numFmtId="182" fontId="8" fillId="0" borderId="77" xfId="0" applyNumberFormat="1" applyFont="1" applyFill="1" applyBorder="1" applyAlignment="1">
      <alignment vertical="center"/>
    </xf>
    <xf numFmtId="182" fontId="8" fillId="0" borderId="100" xfId="0" applyNumberFormat="1" applyFont="1" applyFill="1" applyBorder="1" applyAlignment="1">
      <alignment vertical="center"/>
    </xf>
    <xf numFmtId="2" fontId="8" fillId="0" borderId="16" xfId="0" applyNumberFormat="1" applyFont="1" applyFill="1" applyBorder="1" applyAlignment="1" applyProtection="1">
      <alignment vertical="center" shrinkToFit="1"/>
    </xf>
    <xf numFmtId="2" fontId="8" fillId="0" borderId="14" xfId="0" applyNumberFormat="1" applyFont="1" applyFill="1" applyBorder="1" applyAlignment="1" applyProtection="1">
      <alignment vertical="center"/>
    </xf>
    <xf numFmtId="2" fontId="8" fillId="0" borderId="17" xfId="0" applyNumberFormat="1" applyFont="1" applyFill="1" applyBorder="1" applyAlignment="1">
      <alignment vertical="center"/>
    </xf>
    <xf numFmtId="182" fontId="8" fillId="0" borderId="17" xfId="0" applyNumberFormat="1" applyFont="1" applyFill="1" applyBorder="1" applyAlignment="1" applyProtection="1">
      <alignment vertical="center"/>
    </xf>
    <xf numFmtId="0" fontId="9" fillId="0" borderId="0" xfId="0" applyFont="1" applyAlignment="1"/>
    <xf numFmtId="186" fontId="6" fillId="0" borderId="16" xfId="0" applyNumberFormat="1" applyFont="1" applyFill="1" applyBorder="1" applyAlignment="1"/>
    <xf numFmtId="186" fontId="6" fillId="0" borderId="14" xfId="0" applyNumberFormat="1" applyFont="1" applyFill="1" applyBorder="1" applyAlignment="1"/>
    <xf numFmtId="186" fontId="6" fillId="0" borderId="17" xfId="0" applyNumberFormat="1" applyFont="1" applyFill="1" applyBorder="1" applyAlignment="1"/>
    <xf numFmtId="186" fontId="6" fillId="0" borderId="22" xfId="0" applyNumberFormat="1" applyFont="1" applyFill="1" applyBorder="1" applyAlignment="1"/>
    <xf numFmtId="186" fontId="6" fillId="0" borderId="33" xfId="0" applyNumberFormat="1" applyFont="1" applyFill="1" applyBorder="1" applyAlignment="1"/>
    <xf numFmtId="186" fontId="6" fillId="0" borderId="21" xfId="0" applyNumberFormat="1" applyFont="1" applyFill="1" applyBorder="1" applyAlignment="1"/>
    <xf numFmtId="0" fontId="55" fillId="0" borderId="29" xfId="0" applyFont="1" applyFill="1" applyBorder="1" applyAlignment="1" applyProtection="1">
      <alignment horizontal="left" indent="1"/>
    </xf>
    <xf numFmtId="182" fontId="0" fillId="0" borderId="14" xfId="0" applyNumberFormat="1" applyFont="1" applyBorder="1">
      <alignment vertical="center"/>
    </xf>
    <xf numFmtId="0" fontId="0" fillId="26" borderId="14" xfId="0" applyFont="1" applyFill="1" applyBorder="1" applyAlignment="1"/>
    <xf numFmtId="0" fontId="0" fillId="26" borderId="33" xfId="0" applyFont="1" applyFill="1" applyBorder="1" applyAlignment="1"/>
    <xf numFmtId="0" fontId="0" fillId="0" borderId="103" xfId="0" applyFill="1" applyBorder="1" applyAlignment="1"/>
    <xf numFmtId="20" fontId="0" fillId="0" borderId="61" xfId="0" applyNumberFormat="1" applyBorder="1" applyAlignment="1"/>
    <xf numFmtId="0" fontId="0" fillId="0" borderId="61" xfId="0" applyBorder="1" applyAlignment="1"/>
    <xf numFmtId="20" fontId="0" fillId="0" borderId="104" xfId="0" applyNumberFormat="1" applyBorder="1" applyAlignment="1"/>
    <xf numFmtId="0" fontId="0" fillId="0" borderId="14" xfId="0" applyFill="1" applyBorder="1" applyAlignment="1"/>
    <xf numFmtId="20" fontId="0" fillId="0" borderId="14" xfId="0" applyNumberFormat="1" applyBorder="1">
      <alignment vertical="center"/>
    </xf>
    <xf numFmtId="20" fontId="45" fillId="0" borderId="14" xfId="0" applyNumberFormat="1" applyFont="1" applyBorder="1">
      <alignment vertical="center"/>
    </xf>
    <xf numFmtId="14" fontId="52" fillId="25" borderId="98" xfId="0" applyNumberFormat="1" applyFont="1" applyFill="1" applyBorder="1" applyAlignment="1">
      <alignment horizontal="left" vertical="center"/>
    </xf>
    <xf numFmtId="0" fontId="56" fillId="25" borderId="0" xfId="0" applyFont="1" applyFill="1" applyAlignment="1"/>
    <xf numFmtId="55" fontId="56" fillId="25" borderId="0" xfId="0" applyNumberFormat="1" applyFont="1" applyFill="1" applyAlignment="1"/>
    <xf numFmtId="49" fontId="57" fillId="25" borderId="0" xfId="0" applyNumberFormat="1" applyFont="1" applyFill="1" applyAlignment="1">
      <alignment horizontal="center" vertical="top"/>
    </xf>
    <xf numFmtId="49" fontId="57" fillId="25" borderId="0" xfId="0" applyNumberFormat="1" applyFont="1" applyFill="1" applyAlignment="1">
      <alignment vertical="top"/>
    </xf>
    <xf numFmtId="55" fontId="58" fillId="25" borderId="0" xfId="0" applyNumberFormat="1" applyFont="1" applyFill="1" applyAlignment="1">
      <alignment horizontal="center" vertical="top"/>
    </xf>
    <xf numFmtId="0" fontId="59" fillId="25" borderId="0" xfId="0" applyFont="1" applyFill="1" applyBorder="1" applyAlignment="1"/>
    <xf numFmtId="0" fontId="60" fillId="28" borderId="15" xfId="0" applyFont="1" applyFill="1" applyBorder="1" applyAlignment="1">
      <alignment horizontal="center" vertical="center"/>
    </xf>
    <xf numFmtId="0" fontId="60" fillId="25" borderId="32" xfId="0" applyFont="1" applyFill="1" applyBorder="1" applyAlignment="1">
      <alignment horizontal="center" vertical="center"/>
    </xf>
    <xf numFmtId="0" fontId="61" fillId="28" borderId="32" xfId="0" applyFont="1" applyFill="1" applyBorder="1" applyAlignment="1">
      <alignment horizontal="center" vertical="center"/>
    </xf>
    <xf numFmtId="56" fontId="60" fillId="25" borderId="32" xfId="0" applyNumberFormat="1" applyFont="1" applyFill="1" applyBorder="1" applyAlignment="1">
      <alignment horizontal="right" vertical="center"/>
    </xf>
    <xf numFmtId="180" fontId="60" fillId="25" borderId="41" xfId="0" applyNumberFormat="1" applyFont="1" applyFill="1" applyBorder="1" applyAlignment="1">
      <alignment horizontal="center" vertical="center"/>
    </xf>
    <xf numFmtId="0" fontId="62" fillId="25" borderId="0" xfId="0" applyFont="1" applyFill="1">
      <alignment vertical="center"/>
    </xf>
    <xf numFmtId="0" fontId="57" fillId="25" borderId="0" xfId="0" applyFont="1" applyFill="1" applyAlignment="1">
      <alignment horizontal="center"/>
    </xf>
    <xf numFmtId="0" fontId="56" fillId="25" borderId="0" xfId="0" applyFont="1" applyFill="1" applyBorder="1" applyAlignment="1"/>
    <xf numFmtId="0" fontId="63" fillId="28" borderId="22" xfId="0" applyFont="1" applyFill="1" applyBorder="1" applyAlignment="1">
      <alignment horizontal="center" vertical="center"/>
    </xf>
    <xf numFmtId="182" fontId="63" fillId="25" borderId="33" xfId="0" applyNumberFormat="1" applyFont="1" applyFill="1" applyBorder="1" applyAlignment="1">
      <alignment horizontal="center" vertical="center"/>
    </xf>
    <xf numFmtId="0" fontId="63" fillId="28" borderId="33" xfId="0" applyFont="1" applyFill="1" applyBorder="1" applyAlignment="1">
      <alignment horizontal="center" vertical="center"/>
    </xf>
    <xf numFmtId="0" fontId="60" fillId="25" borderId="34" xfId="0" applyFont="1" applyFill="1" applyBorder="1" applyAlignment="1">
      <alignment horizontal="right" vertical="center"/>
    </xf>
    <xf numFmtId="0" fontId="60" fillId="25" borderId="35" xfId="0" applyFont="1" applyFill="1" applyBorder="1" applyAlignment="1">
      <alignment horizontal="left" vertical="center"/>
    </xf>
    <xf numFmtId="0" fontId="63" fillId="25" borderId="30" xfId="0" applyFont="1" applyFill="1" applyBorder="1" applyAlignment="1">
      <alignment horizontal="left"/>
    </xf>
    <xf numFmtId="0" fontId="63" fillId="25" borderId="31" xfId="0" applyFont="1" applyFill="1" applyBorder="1" applyAlignment="1">
      <alignment horizontal="center"/>
    </xf>
    <xf numFmtId="0" fontId="61" fillId="25" borderId="31" xfId="0" applyFont="1" applyFill="1" applyBorder="1" applyAlignment="1">
      <alignment horizontal="left"/>
    </xf>
    <xf numFmtId="0" fontId="66" fillId="25" borderId="23" xfId="0" applyFont="1" applyFill="1" applyBorder="1" applyAlignment="1"/>
    <xf numFmtId="0" fontId="66" fillId="25" borderId="24" xfId="0" applyFont="1" applyFill="1" applyBorder="1" applyAlignment="1">
      <alignment horizontal="center"/>
    </xf>
    <xf numFmtId="0" fontId="66" fillId="25" borderId="24" xfId="0" applyFont="1" applyFill="1" applyBorder="1" applyAlignment="1"/>
    <xf numFmtId="0" fontId="66" fillId="25" borderId="24" xfId="0" applyFont="1" applyFill="1" applyBorder="1" applyAlignment="1">
      <alignment horizontal="right"/>
    </xf>
    <xf numFmtId="0" fontId="66" fillId="25" borderId="29" xfId="0" applyFont="1" applyFill="1" applyBorder="1" applyAlignment="1">
      <alignment horizontal="center"/>
    </xf>
    <xf numFmtId="0" fontId="67" fillId="25" borderId="92" xfId="0" applyNumberFormat="1" applyFont="1" applyFill="1" applyBorder="1" applyAlignment="1"/>
    <xf numFmtId="0" fontId="68" fillId="25" borderId="25" xfId="0" applyFont="1" applyFill="1" applyBorder="1" applyAlignment="1"/>
    <xf numFmtId="0" fontId="68" fillId="25" borderId="36" xfId="0" quotePrefix="1" applyNumberFormat="1" applyFont="1" applyFill="1" applyBorder="1" applyAlignment="1">
      <alignment horizontal="center"/>
    </xf>
    <xf numFmtId="176" fontId="68" fillId="25" borderId="10" xfId="0" applyNumberFormat="1" applyFont="1" applyFill="1" applyBorder="1" applyAlignment="1"/>
    <xf numFmtId="0" fontId="68" fillId="25" borderId="10" xfId="0" applyFont="1" applyFill="1" applyBorder="1" applyAlignment="1">
      <alignment horizontal="left"/>
    </xf>
    <xf numFmtId="0" fontId="68" fillId="25" borderId="10" xfId="0" applyFont="1" applyFill="1" applyBorder="1" applyAlignment="1">
      <alignment horizontal="center"/>
    </xf>
    <xf numFmtId="0" fontId="68" fillId="25" borderId="10" xfId="0" applyNumberFormat="1" applyFont="1" applyFill="1" applyBorder="1" applyAlignment="1">
      <alignment horizontal="center"/>
    </xf>
    <xf numFmtId="21" fontId="68" fillId="25" borderId="10" xfId="0" applyNumberFormat="1" applyFont="1" applyFill="1" applyBorder="1" applyAlignment="1">
      <alignment horizontal="center"/>
    </xf>
    <xf numFmtId="178" fontId="68" fillId="25" borderId="10" xfId="0" applyNumberFormat="1" applyFont="1" applyFill="1" applyBorder="1" applyAlignment="1">
      <alignment horizontal="right"/>
    </xf>
    <xf numFmtId="176" fontId="68" fillId="25" borderId="10" xfId="0" applyNumberFormat="1" applyFont="1" applyFill="1" applyBorder="1" applyAlignment="1">
      <alignment horizontal="right"/>
    </xf>
    <xf numFmtId="179" fontId="68" fillId="25" borderId="10" xfId="0" applyNumberFormat="1" applyFont="1" applyFill="1" applyBorder="1" applyAlignment="1"/>
    <xf numFmtId="177" fontId="68" fillId="25" borderId="10" xfId="0" applyNumberFormat="1" applyFont="1" applyFill="1" applyBorder="1" applyAlignment="1"/>
    <xf numFmtId="181" fontId="68" fillId="25" borderId="10" xfId="0" applyNumberFormat="1" applyFont="1" applyFill="1" applyBorder="1" applyAlignment="1">
      <alignment horizontal="right" vertical="top"/>
    </xf>
    <xf numFmtId="21" fontId="68" fillId="25" borderId="58" xfId="0" applyNumberFormat="1" applyFont="1" applyFill="1" applyBorder="1" applyAlignment="1">
      <alignment horizontal="center"/>
    </xf>
    <xf numFmtId="0" fontId="68" fillId="25" borderId="26" xfId="0" applyFont="1" applyFill="1" applyBorder="1" applyAlignment="1"/>
    <xf numFmtId="0" fontId="68" fillId="25" borderId="37" xfId="0" quotePrefix="1" applyNumberFormat="1" applyFont="1" applyFill="1" applyBorder="1" applyAlignment="1">
      <alignment horizontal="center"/>
    </xf>
    <xf numFmtId="176" fontId="68" fillId="25" borderId="11" xfId="0" applyNumberFormat="1" applyFont="1" applyFill="1" applyBorder="1" applyAlignment="1"/>
    <xf numFmtId="0" fontId="68" fillId="25" borderId="11" xfId="0" applyFont="1" applyFill="1" applyBorder="1" applyAlignment="1">
      <alignment horizontal="left"/>
    </xf>
    <xf numFmtId="0" fontId="68" fillId="25" borderId="11" xfId="0" applyFont="1" applyFill="1" applyBorder="1" applyAlignment="1">
      <alignment horizontal="center"/>
    </xf>
    <xf numFmtId="0" fontId="68" fillId="25" borderId="11" xfId="0" applyNumberFormat="1" applyFont="1" applyFill="1" applyBorder="1" applyAlignment="1">
      <alignment horizontal="center"/>
    </xf>
    <xf numFmtId="21" fontId="68" fillId="25" borderId="11" xfId="0" applyNumberFormat="1" applyFont="1" applyFill="1" applyBorder="1" applyAlignment="1">
      <alignment horizontal="center"/>
    </xf>
    <xf numFmtId="178" fontId="68" fillId="25" borderId="11" xfId="0" applyNumberFormat="1" applyFont="1" applyFill="1" applyBorder="1" applyAlignment="1">
      <alignment horizontal="right"/>
    </xf>
    <xf numFmtId="176" fontId="68" fillId="25" borderId="11" xfId="0" applyNumberFormat="1" applyFont="1" applyFill="1" applyBorder="1" applyAlignment="1">
      <alignment horizontal="right"/>
    </xf>
    <xf numFmtId="179" fontId="68" fillId="25" borderId="11" xfId="0" applyNumberFormat="1" applyFont="1" applyFill="1" applyBorder="1" applyAlignment="1"/>
    <xf numFmtId="177" fontId="68" fillId="25" borderId="11" xfId="0" applyNumberFormat="1" applyFont="1" applyFill="1" applyBorder="1" applyAlignment="1"/>
    <xf numFmtId="181" fontId="68" fillId="25" borderId="11" xfId="0" applyNumberFormat="1" applyFont="1" applyFill="1" applyBorder="1" applyAlignment="1">
      <alignment horizontal="right" vertical="top"/>
    </xf>
    <xf numFmtId="21" fontId="68" fillId="25" borderId="67" xfId="0" applyNumberFormat="1" applyFont="1" applyFill="1" applyBorder="1" applyAlignment="1">
      <alignment horizontal="center"/>
    </xf>
    <xf numFmtId="0" fontId="68" fillId="25" borderId="27" xfId="0" applyFont="1" applyFill="1" applyBorder="1" applyAlignment="1"/>
    <xf numFmtId="0" fontId="68" fillId="25" borderId="38" xfId="0" quotePrefix="1" applyNumberFormat="1" applyFont="1" applyFill="1" applyBorder="1" applyAlignment="1">
      <alignment horizontal="center"/>
    </xf>
    <xf numFmtId="176" fontId="68" fillId="25" borderId="12" xfId="0" applyNumberFormat="1" applyFont="1" applyFill="1" applyBorder="1" applyAlignment="1"/>
    <xf numFmtId="0" fontId="68" fillId="25" borderId="12" xfId="0" applyFont="1" applyFill="1" applyBorder="1" applyAlignment="1">
      <alignment horizontal="left"/>
    </xf>
    <xf numFmtId="0" fontId="68" fillId="25" borderId="12" xfId="0" applyFont="1" applyFill="1" applyBorder="1" applyAlignment="1">
      <alignment horizontal="center"/>
    </xf>
    <xf numFmtId="0" fontId="68" fillId="25" borderId="12" xfId="0" applyNumberFormat="1" applyFont="1" applyFill="1" applyBorder="1" applyAlignment="1">
      <alignment horizontal="center"/>
    </xf>
    <xf numFmtId="21" fontId="68" fillId="25" borderId="12" xfId="0" applyNumberFormat="1" applyFont="1" applyFill="1" applyBorder="1" applyAlignment="1">
      <alignment horizontal="center"/>
    </xf>
    <xf numFmtId="176" fontId="68" fillId="25" borderId="49" xfId="0" applyNumberFormat="1" applyFont="1" applyFill="1" applyBorder="1" applyAlignment="1"/>
    <xf numFmtId="178" fontId="68" fillId="25" borderId="49" xfId="0" applyNumberFormat="1" applyFont="1" applyFill="1" applyBorder="1" applyAlignment="1">
      <alignment horizontal="right"/>
    </xf>
    <xf numFmtId="0" fontId="68" fillId="25" borderId="49" xfId="0" applyFont="1" applyFill="1" applyBorder="1" applyAlignment="1">
      <alignment horizontal="center"/>
    </xf>
    <xf numFmtId="176" fontId="68" fillId="25" borderId="49" xfId="0" applyNumberFormat="1" applyFont="1" applyFill="1" applyBorder="1" applyAlignment="1">
      <alignment horizontal="right"/>
    </xf>
    <xf numFmtId="21" fontId="68" fillId="25" borderId="49" xfId="0" applyNumberFormat="1" applyFont="1" applyFill="1" applyBorder="1" applyAlignment="1">
      <alignment horizontal="center"/>
    </xf>
    <xf numFmtId="179" fontId="68" fillId="25" borderId="49" xfId="0" applyNumberFormat="1" applyFont="1" applyFill="1" applyBorder="1" applyAlignment="1"/>
    <xf numFmtId="177" fontId="68" fillId="25" borderId="49" xfId="0" applyNumberFormat="1" applyFont="1" applyFill="1" applyBorder="1" applyAlignment="1"/>
    <xf numFmtId="181" fontId="68" fillId="25" borderId="49" xfId="0" applyNumberFormat="1" applyFont="1" applyFill="1" applyBorder="1" applyAlignment="1">
      <alignment horizontal="right" vertical="top"/>
    </xf>
    <xf numFmtId="21" fontId="68" fillId="25" borderId="74" xfId="0" applyNumberFormat="1" applyFont="1" applyFill="1" applyBorder="1" applyAlignment="1">
      <alignment horizontal="center"/>
    </xf>
    <xf numFmtId="0" fontId="68" fillId="25" borderId="28" xfId="0" applyFont="1" applyFill="1" applyBorder="1" applyAlignment="1"/>
    <xf numFmtId="176" fontId="68" fillId="25" borderId="11" xfId="0" applyNumberFormat="1" applyFont="1" applyFill="1" applyBorder="1" applyAlignment="1">
      <alignment horizontal="right" vertical="center"/>
    </xf>
    <xf numFmtId="178" fontId="68" fillId="25" borderId="12" xfId="0" applyNumberFormat="1" applyFont="1" applyFill="1" applyBorder="1" applyAlignment="1">
      <alignment horizontal="right"/>
    </xf>
    <xf numFmtId="176" fontId="68" fillId="25" borderId="12" xfId="0" applyNumberFormat="1" applyFont="1" applyFill="1" applyBorder="1" applyAlignment="1">
      <alignment horizontal="center"/>
    </xf>
    <xf numFmtId="176" fontId="68" fillId="25" borderId="12" xfId="0" applyNumberFormat="1" applyFont="1" applyFill="1" applyBorder="1" applyAlignment="1">
      <alignment horizontal="right"/>
    </xf>
    <xf numFmtId="179" fontId="68" fillId="25" borderId="12" xfId="0" applyNumberFormat="1" applyFont="1" applyFill="1" applyBorder="1" applyAlignment="1"/>
    <xf numFmtId="177" fontId="68" fillId="25" borderId="12" xfId="0" applyNumberFormat="1" applyFont="1" applyFill="1" applyBorder="1" applyAlignment="1"/>
    <xf numFmtId="181" fontId="68" fillId="25" borderId="12" xfId="0" applyNumberFormat="1" applyFont="1" applyFill="1" applyBorder="1" applyAlignment="1">
      <alignment horizontal="right" vertical="top"/>
    </xf>
    <xf numFmtId="176" fontId="68" fillId="25" borderId="13" xfId="0" applyNumberFormat="1" applyFont="1" applyFill="1" applyBorder="1" applyAlignment="1"/>
    <xf numFmtId="178" fontId="68" fillId="25" borderId="13" xfId="0" applyNumberFormat="1" applyFont="1" applyFill="1" applyBorder="1" applyAlignment="1">
      <alignment horizontal="right"/>
    </xf>
    <xf numFmtId="0" fontId="68" fillId="25" borderId="13" xfId="0" applyFont="1" applyFill="1" applyBorder="1" applyAlignment="1">
      <alignment horizontal="center"/>
    </xf>
    <xf numFmtId="176" fontId="68" fillId="25" borderId="13" xfId="0" applyNumberFormat="1" applyFont="1" applyFill="1" applyBorder="1" applyAlignment="1">
      <alignment horizontal="right"/>
    </xf>
    <xf numFmtId="21" fontId="68" fillId="25" borderId="13" xfId="0" applyNumberFormat="1" applyFont="1" applyFill="1" applyBorder="1" applyAlignment="1">
      <alignment horizontal="center"/>
    </xf>
    <xf numFmtId="179" fontId="68" fillId="25" borderId="13" xfId="0" applyNumberFormat="1" applyFont="1" applyFill="1" applyBorder="1" applyAlignment="1"/>
    <xf numFmtId="177" fontId="68" fillId="25" borderId="13" xfId="0" applyNumberFormat="1" applyFont="1" applyFill="1" applyBorder="1" applyAlignment="1"/>
    <xf numFmtId="181" fontId="68" fillId="25" borderId="13" xfId="0" applyNumberFormat="1" applyFont="1" applyFill="1" applyBorder="1" applyAlignment="1">
      <alignment horizontal="right" vertical="top"/>
    </xf>
    <xf numFmtId="0" fontId="68" fillId="25" borderId="39" xfId="0" quotePrefix="1" applyNumberFormat="1" applyFont="1" applyFill="1" applyBorder="1" applyAlignment="1">
      <alignment horizontal="center"/>
    </xf>
    <xf numFmtId="0" fontId="68" fillId="25" borderId="40" xfId="0" applyFont="1" applyFill="1" applyBorder="1" applyAlignment="1"/>
    <xf numFmtId="21" fontId="68" fillId="25" borderId="67" xfId="0" applyNumberFormat="1" applyFont="1" applyFill="1" applyBorder="1" applyAlignment="1">
      <alignment horizontal="left"/>
    </xf>
    <xf numFmtId="180" fontId="68" fillId="25" borderId="69" xfId="0" applyNumberFormat="1" applyFont="1" applyFill="1" applyBorder="1" applyAlignment="1">
      <alignment horizontal="left"/>
    </xf>
    <xf numFmtId="180" fontId="68" fillId="25" borderId="47" xfId="0" applyNumberFormat="1" applyFont="1" applyFill="1" applyBorder="1" applyAlignment="1">
      <alignment horizontal="center"/>
    </xf>
    <xf numFmtId="0" fontId="68" fillId="25" borderId="13" xfId="0" applyFont="1" applyFill="1" applyBorder="1" applyAlignment="1">
      <alignment horizontal="left"/>
    </xf>
    <xf numFmtId="0" fontId="68" fillId="25" borderId="13" xfId="0" applyNumberFormat="1" applyFont="1" applyFill="1" applyBorder="1" applyAlignment="1">
      <alignment horizontal="center"/>
    </xf>
    <xf numFmtId="180" fontId="66" fillId="25" borderId="66" xfId="0" applyNumberFormat="1" applyFont="1" applyFill="1" applyBorder="1" applyAlignment="1">
      <alignment vertical="center"/>
    </xf>
    <xf numFmtId="180" fontId="66" fillId="25" borderId="69" xfId="0" applyNumberFormat="1" applyFont="1" applyFill="1" applyBorder="1" applyAlignment="1">
      <alignment vertical="center"/>
    </xf>
    <xf numFmtId="0" fontId="56" fillId="25" borderId="94" xfId="0" applyFont="1" applyFill="1" applyBorder="1" applyAlignment="1">
      <alignment vertical="top" wrapText="1"/>
    </xf>
    <xf numFmtId="0" fontId="56" fillId="25" borderId="92" xfId="0" applyFont="1" applyFill="1" applyBorder="1" applyAlignment="1">
      <alignment vertical="top" wrapText="1"/>
    </xf>
    <xf numFmtId="0" fontId="56" fillId="25" borderId="84" xfId="0" applyFont="1" applyFill="1" applyBorder="1" applyAlignment="1">
      <alignment vertical="top" wrapText="1"/>
    </xf>
    <xf numFmtId="0" fontId="71" fillId="25" borderId="0" xfId="0" applyFont="1" applyFill="1">
      <alignment vertical="center"/>
    </xf>
    <xf numFmtId="0" fontId="71" fillId="0" borderId="0" xfId="0" applyFont="1">
      <alignment vertical="center"/>
    </xf>
    <xf numFmtId="0" fontId="68" fillId="25" borderId="0" xfId="0" applyFont="1" applyFill="1" applyAlignment="1"/>
    <xf numFmtId="0" fontId="66" fillId="25" borderId="0" xfId="0" applyFont="1" applyFill="1" applyAlignment="1"/>
    <xf numFmtId="180" fontId="60" fillId="25" borderId="0" xfId="0" applyNumberFormat="1" applyFont="1" applyFill="1" applyBorder="1" applyAlignment="1">
      <alignment horizontal="center" vertical="center"/>
    </xf>
    <xf numFmtId="0" fontId="60" fillId="25" borderId="0" xfId="0" applyFont="1" applyFill="1" applyBorder="1" applyAlignment="1">
      <alignment horizontal="left" vertical="center"/>
    </xf>
    <xf numFmtId="0" fontId="63" fillId="25" borderId="0" xfId="0" applyFont="1" applyFill="1" applyBorder="1" applyAlignment="1">
      <alignment horizontal="center"/>
    </xf>
    <xf numFmtId="0" fontId="68" fillId="25" borderId="0" xfId="0" applyFont="1" applyFill="1" applyBorder="1" applyAlignment="1"/>
    <xf numFmtId="0" fontId="68" fillId="25" borderId="0" xfId="0" applyFont="1" applyFill="1" applyBorder="1" applyAlignment="1">
      <alignment horizontal="left" vertical="top" wrapText="1"/>
    </xf>
    <xf numFmtId="0" fontId="57" fillId="25" borderId="0" xfId="0" applyFont="1" applyFill="1" applyAlignment="1">
      <alignment horizontal="center"/>
    </xf>
    <xf numFmtId="0" fontId="62" fillId="0" borderId="0" xfId="0" applyFont="1">
      <alignment vertical="center"/>
    </xf>
    <xf numFmtId="0" fontId="56" fillId="0" borderId="0" xfId="0" applyFont="1" applyAlignment="1"/>
    <xf numFmtId="0" fontId="60" fillId="0" borderId="0" xfId="0" applyFont="1" applyFill="1" applyAlignment="1"/>
    <xf numFmtId="0" fontId="56" fillId="0" borderId="0" xfId="0" applyFont="1" applyFill="1" applyAlignment="1"/>
    <xf numFmtId="0" fontId="73" fillId="0" borderId="0" xfId="0" applyFont="1">
      <alignment vertical="center"/>
    </xf>
    <xf numFmtId="0" fontId="74" fillId="0" borderId="0" xfId="0" applyFont="1" applyFill="1" applyAlignment="1"/>
    <xf numFmtId="0" fontId="63" fillId="0" borderId="31" xfId="0" applyFont="1" applyFill="1" applyBorder="1" applyAlignment="1">
      <alignment horizontal="center"/>
    </xf>
    <xf numFmtId="0" fontId="68" fillId="0" borderId="0" xfId="0" applyFont="1" applyAlignment="1"/>
    <xf numFmtId="0" fontId="63" fillId="0" borderId="30" xfId="0" applyFont="1" applyFill="1" applyBorder="1" applyAlignment="1">
      <alignment horizontal="center"/>
    </xf>
    <xf numFmtId="0" fontId="63" fillId="0" borderId="42" xfId="0" applyFont="1" applyFill="1" applyBorder="1" applyAlignment="1">
      <alignment horizontal="center"/>
    </xf>
    <xf numFmtId="0" fontId="66" fillId="0" borderId="29" xfId="0" applyFont="1" applyFill="1" applyBorder="1" applyAlignment="1">
      <alignment horizontal="center"/>
    </xf>
    <xf numFmtId="0" fontId="66" fillId="0" borderId="0" xfId="0" applyFont="1" applyAlignment="1"/>
    <xf numFmtId="0" fontId="66" fillId="0" borderId="43" xfId="0" applyFont="1" applyFill="1" applyBorder="1" applyAlignment="1">
      <alignment horizontal="center"/>
    </xf>
    <xf numFmtId="0" fontId="66" fillId="0" borderId="44" xfId="0" applyFont="1" applyFill="1" applyBorder="1" applyAlignment="1">
      <alignment horizontal="center"/>
    </xf>
    <xf numFmtId="181" fontId="68" fillId="0" borderId="10" xfId="0" applyNumberFormat="1" applyFont="1" applyFill="1" applyBorder="1" applyAlignment="1">
      <alignment horizontal="right" vertical="top"/>
    </xf>
    <xf numFmtId="186" fontId="68" fillId="0" borderId="16" xfId="0" applyNumberFormat="1" applyFont="1" applyFill="1" applyBorder="1" applyAlignment="1"/>
    <xf numFmtId="186" fontId="68" fillId="0" borderId="14" xfId="0" applyNumberFormat="1" applyFont="1" applyFill="1" applyBorder="1" applyAlignment="1"/>
    <xf numFmtId="186" fontId="68" fillId="0" borderId="17" xfId="0" applyNumberFormat="1" applyFont="1" applyFill="1" applyBorder="1" applyAlignment="1"/>
    <xf numFmtId="178" fontId="68" fillId="0" borderId="36" xfId="0" applyNumberFormat="1" applyFont="1" applyFill="1" applyBorder="1" applyAlignment="1"/>
    <xf numFmtId="178" fontId="68" fillId="0" borderId="10" xfId="0" applyNumberFormat="1" applyFont="1" applyFill="1" applyBorder="1" applyAlignment="1"/>
    <xf numFmtId="178" fontId="68" fillId="0" borderId="45" xfId="0" applyNumberFormat="1" applyFont="1" applyFill="1" applyBorder="1" applyAlignment="1"/>
    <xf numFmtId="181" fontId="68" fillId="0" borderId="36" xfId="0" applyNumberFormat="1" applyFont="1" applyFill="1" applyBorder="1" applyAlignment="1">
      <alignment horizontal="right" vertical="top"/>
    </xf>
    <xf numFmtId="181" fontId="68" fillId="0" borderId="45" xfId="0" applyNumberFormat="1" applyFont="1" applyFill="1" applyBorder="1" applyAlignment="1">
      <alignment horizontal="right"/>
    </xf>
    <xf numFmtId="186" fontId="68" fillId="0" borderId="22" xfId="0" applyNumberFormat="1" applyFont="1" applyFill="1" applyBorder="1" applyAlignment="1"/>
    <xf numFmtId="186" fontId="68" fillId="0" borderId="33" xfId="0" applyNumberFormat="1" applyFont="1" applyFill="1" applyBorder="1" applyAlignment="1"/>
    <xf numFmtId="186" fontId="68" fillId="0" borderId="21" xfId="0" applyNumberFormat="1" applyFont="1" applyFill="1" applyBorder="1" applyAlignment="1"/>
    <xf numFmtId="178" fontId="68" fillId="0" borderId="22" xfId="0" applyNumberFormat="1" applyFont="1" applyFill="1" applyBorder="1" applyAlignment="1"/>
    <xf numFmtId="178" fontId="68" fillId="0" borderId="33" xfId="0" applyNumberFormat="1" applyFont="1" applyFill="1" applyBorder="1" applyAlignment="1"/>
    <xf numFmtId="178" fontId="68" fillId="0" borderId="21" xfId="0" applyNumberFormat="1" applyFont="1" applyFill="1" applyBorder="1" applyAlignment="1"/>
    <xf numFmtId="0" fontId="72" fillId="25" borderId="0" xfId="0" applyFont="1" applyFill="1" applyAlignment="1">
      <alignment horizontal="left" vertical="center"/>
    </xf>
    <xf numFmtId="21" fontId="66" fillId="25" borderId="67" xfId="0" applyNumberFormat="1" applyFont="1" applyFill="1" applyBorder="1" applyAlignment="1">
      <alignment horizontal="left" vertical="top"/>
    </xf>
    <xf numFmtId="176" fontId="68" fillId="25" borderId="11" xfId="0" applyNumberFormat="1" applyFont="1" applyFill="1" applyBorder="1" applyAlignment="1">
      <alignment horizontal="center"/>
    </xf>
    <xf numFmtId="21" fontId="68" fillId="25" borderId="74" xfId="0" applyNumberFormat="1" applyFont="1" applyFill="1" applyBorder="1" applyAlignment="1">
      <alignment horizontal="left"/>
    </xf>
    <xf numFmtId="180" fontId="68" fillId="25" borderId="66" xfId="0" applyNumberFormat="1" applyFont="1" applyFill="1" applyBorder="1" applyAlignment="1">
      <alignment horizontal="center"/>
    </xf>
    <xf numFmtId="180" fontId="68" fillId="25" borderId="69" xfId="0" applyNumberFormat="1" applyFont="1" applyFill="1" applyBorder="1" applyAlignment="1">
      <alignment horizontal="center"/>
    </xf>
    <xf numFmtId="180" fontId="69" fillId="25" borderId="69" xfId="0" applyNumberFormat="1" applyFont="1" applyFill="1" applyBorder="1" applyAlignment="1">
      <alignment horizontal="left"/>
    </xf>
    <xf numFmtId="0" fontId="75" fillId="25" borderId="0" xfId="0" applyFont="1" applyFill="1" applyBorder="1" applyAlignment="1">
      <alignment horizontal="left" vertical="top" wrapText="1"/>
    </xf>
    <xf numFmtId="0" fontId="57" fillId="25" borderId="0" xfId="0" applyFont="1" applyFill="1" applyAlignment="1">
      <alignment horizontal="center"/>
    </xf>
    <xf numFmtId="0" fontId="57" fillId="25" borderId="0" xfId="0" applyFont="1" applyFill="1" applyAlignment="1">
      <alignment horizontal="center"/>
    </xf>
    <xf numFmtId="181" fontId="68" fillId="0" borderId="22" xfId="0" applyNumberFormat="1" applyFont="1" applyFill="1" applyBorder="1" applyAlignment="1">
      <alignment horizontal="right" vertical="top"/>
    </xf>
    <xf numFmtId="181" fontId="68" fillId="0" borderId="33" xfId="0" applyNumberFormat="1" applyFont="1" applyFill="1" applyBorder="1" applyAlignment="1">
      <alignment horizontal="right" vertical="top"/>
    </xf>
    <xf numFmtId="181" fontId="68" fillId="0" borderId="21" xfId="0" applyNumberFormat="1" applyFont="1" applyFill="1" applyBorder="1" applyAlignment="1">
      <alignment horizontal="right"/>
    </xf>
    <xf numFmtId="21" fontId="68" fillId="25" borderId="63" xfId="0" applyNumberFormat="1" applyFont="1" applyFill="1" applyBorder="1" applyAlignment="1">
      <alignment horizontal="center"/>
    </xf>
    <xf numFmtId="0" fontId="67" fillId="25" borderId="92" xfId="0" applyNumberFormat="1" applyFont="1" applyFill="1" applyBorder="1" applyAlignment="1">
      <alignment horizontal="center" vertical="center"/>
    </xf>
    <xf numFmtId="20" fontId="68" fillId="25" borderId="58" xfId="0" applyNumberFormat="1" applyFont="1" applyFill="1" applyBorder="1" applyAlignment="1">
      <alignment horizontal="center"/>
    </xf>
    <xf numFmtId="20" fontId="68" fillId="25" borderId="67" xfId="0" applyNumberFormat="1" applyFont="1" applyFill="1" applyBorder="1" applyAlignment="1">
      <alignment horizontal="center"/>
    </xf>
    <xf numFmtId="20" fontId="68" fillId="25" borderId="74" xfId="0" applyNumberFormat="1" applyFont="1" applyFill="1" applyBorder="1" applyAlignment="1">
      <alignment horizontal="center"/>
    </xf>
    <xf numFmtId="21" fontId="66" fillId="25" borderId="63" xfId="0" applyNumberFormat="1" applyFont="1" applyFill="1" applyBorder="1" applyAlignment="1">
      <alignment horizontal="left"/>
    </xf>
    <xf numFmtId="21" fontId="68" fillId="25" borderId="63" xfId="0" applyNumberFormat="1" applyFont="1" applyFill="1" applyBorder="1" applyAlignment="1">
      <alignment horizontal="left"/>
    </xf>
    <xf numFmtId="176" fontId="68" fillId="25" borderId="12" xfId="0" applyNumberFormat="1" applyFont="1" applyFill="1" applyBorder="1" applyAlignment="1">
      <alignment horizontal="right" vertical="center"/>
    </xf>
    <xf numFmtId="21" fontId="68" fillId="25" borderId="69" xfId="0" applyNumberFormat="1" applyFont="1" applyFill="1" applyBorder="1" applyAlignment="1">
      <alignment horizontal="left"/>
    </xf>
    <xf numFmtId="0" fontId="57" fillId="25" borderId="0" xfId="0" applyFont="1" applyFill="1" applyAlignment="1">
      <alignment horizontal="center"/>
    </xf>
    <xf numFmtId="2" fontId="68" fillId="25" borderId="10" xfId="0" applyNumberFormat="1" applyFont="1" applyFill="1" applyBorder="1" applyAlignment="1">
      <alignment horizontal="center"/>
    </xf>
    <xf numFmtId="2" fontId="68" fillId="25" borderId="11" xfId="0" applyNumberFormat="1" applyFont="1" applyFill="1" applyBorder="1" applyAlignment="1">
      <alignment horizontal="center"/>
    </xf>
    <xf numFmtId="2" fontId="68" fillId="25" borderId="12" xfId="0" applyNumberFormat="1" applyFont="1" applyFill="1" applyBorder="1" applyAlignment="1">
      <alignment horizontal="center"/>
    </xf>
    <xf numFmtId="176" fontId="68" fillId="25" borderId="13" xfId="0" applyNumberFormat="1" applyFont="1" applyFill="1" applyBorder="1" applyAlignment="1">
      <alignment horizontal="right" vertical="center"/>
    </xf>
    <xf numFmtId="180" fontId="68" fillId="25" borderId="66" xfId="0" applyNumberFormat="1" applyFont="1" applyFill="1" applyBorder="1" applyAlignment="1">
      <alignment horizontal="left" vertical="center"/>
    </xf>
    <xf numFmtId="21" fontId="68" fillId="25" borderId="58" xfId="0" applyNumberFormat="1" applyFont="1" applyFill="1" applyBorder="1" applyAlignment="1">
      <alignment horizontal="left"/>
    </xf>
    <xf numFmtId="0" fontId="57" fillId="25" borderId="0" xfId="0" applyFont="1" applyFill="1" applyAlignment="1">
      <alignment horizontal="center"/>
    </xf>
    <xf numFmtId="0" fontId="64" fillId="25" borderId="32" xfId="0" applyFont="1" applyFill="1" applyBorder="1" applyAlignment="1">
      <alignment horizontal="center" vertical="center"/>
    </xf>
    <xf numFmtId="55" fontId="56" fillId="0" borderId="0" xfId="0" applyNumberFormat="1" applyFont="1" applyAlignment="1"/>
    <xf numFmtId="49" fontId="57" fillId="0" borderId="0" xfId="0" applyNumberFormat="1" applyFont="1" applyFill="1" applyAlignment="1">
      <alignment horizontal="center" vertical="top"/>
    </xf>
    <xf numFmtId="49" fontId="57" fillId="0" borderId="0" xfId="0" applyNumberFormat="1" applyFont="1" applyFill="1" applyAlignment="1">
      <alignment vertical="top"/>
    </xf>
    <xf numFmtId="55" fontId="58" fillId="0" borderId="0" xfId="0" applyNumberFormat="1" applyFont="1" applyAlignment="1">
      <alignment horizontal="center" vertical="top"/>
    </xf>
    <xf numFmtId="0" fontId="59" fillId="0" borderId="0" xfId="0" applyFont="1" applyBorder="1" applyAlignment="1"/>
    <xf numFmtId="0" fontId="60" fillId="1" borderId="15" xfId="0" applyFont="1" applyFill="1" applyBorder="1" applyAlignment="1">
      <alignment horizontal="center" vertical="center"/>
    </xf>
    <xf numFmtId="0" fontId="60" fillId="0" borderId="32" xfId="0" applyFont="1" applyFill="1" applyBorder="1" applyAlignment="1">
      <alignment horizontal="center" vertical="center"/>
    </xf>
    <xf numFmtId="0" fontId="61" fillId="1" borderId="32" xfId="0" applyFont="1" applyFill="1" applyBorder="1" applyAlignment="1">
      <alignment horizontal="center" vertical="center"/>
    </xf>
    <xf numFmtId="56" fontId="60" fillId="0" borderId="32" xfId="0" applyNumberFormat="1" applyFont="1" applyBorder="1" applyAlignment="1">
      <alignment horizontal="right" vertical="center"/>
    </xf>
    <xf numFmtId="180" fontId="60" fillId="0" borderId="41" xfId="0" applyNumberFormat="1" applyFont="1" applyBorder="1" applyAlignment="1">
      <alignment horizontal="center" vertical="center"/>
    </xf>
    <xf numFmtId="0" fontId="57" fillId="0" borderId="0" xfId="0" applyFont="1" applyAlignment="1">
      <alignment horizontal="center"/>
    </xf>
    <xf numFmtId="0" fontId="56" fillId="0" borderId="0" xfId="0" applyFont="1" applyBorder="1" applyAlignment="1"/>
    <xf numFmtId="0" fontId="63" fillId="1" borderId="22" xfId="0" applyFont="1" applyFill="1" applyBorder="1" applyAlignment="1">
      <alignment horizontal="center" vertical="center"/>
    </xf>
    <xf numFmtId="182" fontId="63" fillId="0" borderId="33" xfId="0" applyNumberFormat="1" applyFont="1" applyFill="1" applyBorder="1" applyAlignment="1">
      <alignment horizontal="center" vertical="center"/>
    </xf>
    <xf numFmtId="0" fontId="63" fillId="1" borderId="33" xfId="0" applyFont="1" applyFill="1" applyBorder="1" applyAlignment="1">
      <alignment horizontal="center" vertical="center"/>
    </xf>
    <xf numFmtId="0" fontId="60" fillId="0" borderId="34" xfId="0" applyFont="1" applyBorder="1" applyAlignment="1">
      <alignment horizontal="right" vertical="center"/>
    </xf>
    <xf numFmtId="0" fontId="60" fillId="0" borderId="35" xfId="0" applyFont="1" applyBorder="1" applyAlignment="1">
      <alignment horizontal="left" vertical="center"/>
    </xf>
    <xf numFmtId="0" fontId="63" fillId="0" borderId="30" xfId="0" applyFont="1" applyFill="1" applyBorder="1" applyAlignment="1">
      <alignment horizontal="left"/>
    </xf>
    <xf numFmtId="0" fontId="61" fillId="0" borderId="31" xfId="0" applyFont="1" applyFill="1" applyBorder="1" applyAlignment="1">
      <alignment horizontal="left"/>
    </xf>
    <xf numFmtId="0" fontId="66" fillId="0" borderId="23" xfId="0" applyFont="1" applyFill="1" applyBorder="1" applyAlignment="1"/>
    <xf numFmtId="0" fontId="66" fillId="0" borderId="24" xfId="0" applyFont="1" applyFill="1" applyBorder="1" applyAlignment="1">
      <alignment horizontal="center"/>
    </xf>
    <xf numFmtId="0" fontId="66" fillId="0" borderId="24" xfId="0" applyFont="1" applyFill="1" applyBorder="1" applyAlignment="1"/>
    <xf numFmtId="0" fontId="66" fillId="0" borderId="24" xfId="0" applyFont="1" applyFill="1" applyBorder="1" applyAlignment="1">
      <alignment horizontal="right"/>
    </xf>
    <xf numFmtId="0" fontId="67" fillId="0" borderId="92" xfId="0" applyNumberFormat="1" applyFont="1" applyFill="1" applyBorder="1" applyAlignment="1"/>
    <xf numFmtId="0" fontId="68" fillId="0" borderId="25" xfId="0" applyFont="1" applyFill="1" applyBorder="1" applyAlignment="1"/>
    <xf numFmtId="0" fontId="68" fillId="0" borderId="36" xfId="0" quotePrefix="1" applyNumberFormat="1" applyFont="1" applyFill="1" applyBorder="1" applyAlignment="1">
      <alignment horizontal="center"/>
    </xf>
    <xf numFmtId="176" fontId="68" fillId="0" borderId="10" xfId="0" applyNumberFormat="1" applyFont="1" applyFill="1" applyBorder="1" applyAlignment="1"/>
    <xf numFmtId="0" fontId="68" fillId="0" borderId="10" xfId="0" applyFont="1" applyFill="1" applyBorder="1" applyAlignment="1">
      <alignment horizontal="left"/>
    </xf>
    <xf numFmtId="0" fontId="68" fillId="0" borderId="10" xfId="0" applyFont="1" applyFill="1" applyBorder="1" applyAlignment="1">
      <alignment horizontal="center"/>
    </xf>
    <xf numFmtId="0" fontId="68" fillId="0" borderId="10" xfId="0" applyNumberFormat="1" applyFont="1" applyFill="1" applyBorder="1" applyAlignment="1">
      <alignment horizontal="center"/>
    </xf>
    <xf numFmtId="21" fontId="68" fillId="0" borderId="10" xfId="0" applyNumberFormat="1" applyFont="1" applyFill="1" applyBorder="1" applyAlignment="1">
      <alignment horizontal="center"/>
    </xf>
    <xf numFmtId="178" fontId="68" fillId="0" borderId="10" xfId="0" applyNumberFormat="1" applyFont="1" applyFill="1" applyBorder="1" applyAlignment="1">
      <alignment horizontal="right"/>
    </xf>
    <xf numFmtId="176" fontId="68" fillId="0" borderId="10" xfId="0" applyNumberFormat="1" applyFont="1" applyFill="1" applyBorder="1" applyAlignment="1">
      <alignment horizontal="right"/>
    </xf>
    <xf numFmtId="179" fontId="68" fillId="0" borderId="10" xfId="0" applyNumberFormat="1" applyFont="1" applyFill="1" applyBorder="1" applyAlignment="1"/>
    <xf numFmtId="177" fontId="68" fillId="0" borderId="10" xfId="0" applyNumberFormat="1" applyFont="1" applyFill="1" applyBorder="1" applyAlignment="1"/>
    <xf numFmtId="21" fontId="68" fillId="0" borderId="58" xfId="0" applyNumberFormat="1" applyFont="1" applyFill="1" applyBorder="1" applyAlignment="1">
      <alignment horizontal="center"/>
    </xf>
    <xf numFmtId="0" fontId="68" fillId="0" borderId="26" xfId="0" applyFont="1" applyFill="1" applyBorder="1" applyAlignment="1"/>
    <xf numFmtId="0" fontId="68" fillId="0" borderId="37" xfId="0" quotePrefix="1" applyNumberFormat="1" applyFont="1" applyFill="1" applyBorder="1" applyAlignment="1">
      <alignment horizontal="center"/>
    </xf>
    <xf numFmtId="176" fontId="68" fillId="0" borderId="11" xfId="0" applyNumberFormat="1" applyFont="1" applyFill="1" applyBorder="1" applyAlignment="1"/>
    <xf numFmtId="0" fontId="68" fillId="0" borderId="11" xfId="0" applyFont="1" applyFill="1" applyBorder="1" applyAlignment="1">
      <alignment horizontal="left"/>
    </xf>
    <xf numFmtId="0" fontId="68" fillId="0" borderId="11" xfId="0" applyFont="1" applyFill="1" applyBorder="1" applyAlignment="1">
      <alignment horizontal="center"/>
    </xf>
    <xf numFmtId="0" fontId="68" fillId="0" borderId="11" xfId="0" applyNumberFormat="1" applyFont="1" applyFill="1" applyBorder="1" applyAlignment="1">
      <alignment horizontal="center"/>
    </xf>
    <xf numFmtId="21" fontId="68" fillId="0" borderId="11" xfId="0" applyNumberFormat="1" applyFont="1" applyFill="1" applyBorder="1" applyAlignment="1">
      <alignment horizontal="center"/>
    </xf>
    <xf numFmtId="178" fontId="68" fillId="0" borderId="11" xfId="0" applyNumberFormat="1" applyFont="1" applyFill="1" applyBorder="1" applyAlignment="1">
      <alignment horizontal="right"/>
    </xf>
    <xf numFmtId="176" fontId="68" fillId="0" borderId="11" xfId="0" applyNumberFormat="1" applyFont="1" applyFill="1" applyBorder="1" applyAlignment="1">
      <alignment horizontal="right"/>
    </xf>
    <xf numFmtId="179" fontId="68" fillId="0" borderId="11" xfId="0" applyNumberFormat="1" applyFont="1" applyFill="1" applyBorder="1" applyAlignment="1"/>
    <xf numFmtId="177" fontId="68" fillId="0" borderId="11" xfId="0" applyNumberFormat="1" applyFont="1" applyFill="1" applyBorder="1" applyAlignment="1"/>
    <xf numFmtId="181" fontId="68" fillId="0" borderId="11" xfId="0" applyNumberFormat="1" applyFont="1" applyFill="1" applyBorder="1" applyAlignment="1">
      <alignment horizontal="right" vertical="top"/>
    </xf>
    <xf numFmtId="21" fontId="68" fillId="0" borderId="67" xfId="0" applyNumberFormat="1" applyFont="1" applyFill="1" applyBorder="1" applyAlignment="1">
      <alignment horizontal="center"/>
    </xf>
    <xf numFmtId="0" fontId="68" fillId="0" borderId="27" xfId="0" applyFont="1" applyFill="1" applyBorder="1" applyAlignment="1"/>
    <xf numFmtId="21" fontId="66" fillId="0" borderId="67" xfId="0" applyNumberFormat="1" applyFont="1" applyFill="1" applyBorder="1" applyAlignment="1">
      <alignment horizontal="left" vertical="top"/>
    </xf>
    <xf numFmtId="0" fontId="68" fillId="0" borderId="38" xfId="0" quotePrefix="1" applyNumberFormat="1" applyFont="1" applyFill="1" applyBorder="1" applyAlignment="1">
      <alignment horizontal="center"/>
    </xf>
    <xf numFmtId="176" fontId="68" fillId="0" borderId="12" xfId="0" applyNumberFormat="1" applyFont="1" applyFill="1" applyBorder="1" applyAlignment="1"/>
    <xf numFmtId="0" fontId="68" fillId="0" borderId="12" xfId="0" applyFont="1" applyFill="1" applyBorder="1" applyAlignment="1">
      <alignment horizontal="left"/>
    </xf>
    <xf numFmtId="0" fontId="68" fillId="0" borderId="12" xfId="0" applyFont="1" applyFill="1" applyBorder="1" applyAlignment="1">
      <alignment horizontal="center"/>
    </xf>
    <xf numFmtId="0" fontId="68" fillId="0" borderId="12" xfId="0" applyNumberFormat="1" applyFont="1" applyFill="1" applyBorder="1" applyAlignment="1">
      <alignment horizontal="center"/>
    </xf>
    <xf numFmtId="21" fontId="68" fillId="0" borderId="12" xfId="0" applyNumberFormat="1" applyFont="1" applyFill="1" applyBorder="1" applyAlignment="1">
      <alignment horizontal="center"/>
    </xf>
    <xf numFmtId="176" fontId="68" fillId="0" borderId="49" xfId="0" applyNumberFormat="1" applyFont="1" applyFill="1" applyBorder="1" applyAlignment="1"/>
    <xf numFmtId="178" fontId="68" fillId="0" borderId="49" xfId="0" applyNumberFormat="1" applyFont="1" applyFill="1" applyBorder="1" applyAlignment="1">
      <alignment horizontal="right"/>
    </xf>
    <xf numFmtId="0" fontId="68" fillId="0" borderId="49" xfId="0" applyFont="1" applyFill="1" applyBorder="1" applyAlignment="1">
      <alignment horizontal="center"/>
    </xf>
    <xf numFmtId="176" fontId="68" fillId="0" borderId="49" xfId="0" applyNumberFormat="1" applyFont="1" applyFill="1" applyBorder="1" applyAlignment="1">
      <alignment horizontal="right"/>
    </xf>
    <xf numFmtId="21" fontId="68" fillId="0" borderId="49" xfId="0" applyNumberFormat="1" applyFont="1" applyFill="1" applyBorder="1" applyAlignment="1">
      <alignment horizontal="center"/>
    </xf>
    <xf numFmtId="179" fontId="68" fillId="0" borderId="49" xfId="0" applyNumberFormat="1" applyFont="1" applyFill="1" applyBorder="1" applyAlignment="1"/>
    <xf numFmtId="177" fontId="68" fillId="0" borderId="49" xfId="0" applyNumberFormat="1" applyFont="1" applyFill="1" applyBorder="1" applyAlignment="1"/>
    <xf numFmtId="181" fontId="68" fillId="0" borderId="49" xfId="0" applyNumberFormat="1" applyFont="1" applyFill="1" applyBorder="1" applyAlignment="1">
      <alignment horizontal="right" vertical="top"/>
    </xf>
    <xf numFmtId="21" fontId="68" fillId="0" borderId="74" xfId="0" applyNumberFormat="1" applyFont="1" applyFill="1" applyBorder="1" applyAlignment="1">
      <alignment horizontal="center"/>
    </xf>
    <xf numFmtId="0" fontId="68" fillId="0" borderId="28" xfId="0" applyFont="1" applyFill="1" applyBorder="1" applyAlignment="1"/>
    <xf numFmtId="178" fontId="68" fillId="0" borderId="12" xfId="0" applyNumberFormat="1" applyFont="1" applyFill="1" applyBorder="1" applyAlignment="1">
      <alignment horizontal="right"/>
    </xf>
    <xf numFmtId="176" fontId="68" fillId="0" borderId="12" xfId="0" applyNumberFormat="1" applyFont="1" applyFill="1" applyBorder="1" applyAlignment="1">
      <alignment horizontal="right"/>
    </xf>
    <xf numFmtId="179" fontId="68" fillId="0" borderId="12" xfId="0" applyNumberFormat="1" applyFont="1" applyFill="1" applyBorder="1" applyAlignment="1"/>
    <xf numFmtId="177" fontId="68" fillId="0" borderId="12" xfId="0" applyNumberFormat="1" applyFont="1" applyFill="1" applyBorder="1" applyAlignment="1"/>
    <xf numFmtId="181" fontId="68" fillId="0" borderId="12" xfId="0" applyNumberFormat="1" applyFont="1" applyFill="1" applyBorder="1" applyAlignment="1">
      <alignment horizontal="right" vertical="top"/>
    </xf>
    <xf numFmtId="176" fontId="68" fillId="0" borderId="13" xfId="0" applyNumberFormat="1" applyFont="1" applyFill="1" applyBorder="1" applyAlignment="1"/>
    <xf numFmtId="178" fontId="68" fillId="0" borderId="13" xfId="0" applyNumberFormat="1" applyFont="1" applyFill="1" applyBorder="1" applyAlignment="1">
      <alignment horizontal="right"/>
    </xf>
    <xf numFmtId="176" fontId="68" fillId="0" borderId="13" xfId="0" applyNumberFormat="1" applyFont="1" applyFill="1" applyBorder="1" applyAlignment="1">
      <alignment horizontal="center"/>
    </xf>
    <xf numFmtId="176" fontId="68" fillId="0" borderId="13" xfId="0" applyNumberFormat="1" applyFont="1" applyFill="1" applyBorder="1" applyAlignment="1">
      <alignment horizontal="right"/>
    </xf>
    <xf numFmtId="21" fontId="68" fillId="0" borderId="13" xfId="0" applyNumberFormat="1" applyFont="1" applyFill="1" applyBorder="1" applyAlignment="1">
      <alignment horizontal="center"/>
    </xf>
    <xf numFmtId="179" fontId="68" fillId="0" borderId="13" xfId="0" applyNumberFormat="1" applyFont="1" applyFill="1" applyBorder="1" applyAlignment="1"/>
    <xf numFmtId="177" fontId="68" fillId="0" borderId="13" xfId="0" applyNumberFormat="1" applyFont="1" applyFill="1" applyBorder="1" applyAlignment="1"/>
    <xf numFmtId="181" fontId="68" fillId="0" borderId="13" xfId="0" applyNumberFormat="1" applyFont="1" applyFill="1" applyBorder="1" applyAlignment="1">
      <alignment horizontal="right" vertical="top"/>
    </xf>
    <xf numFmtId="21" fontId="68" fillId="0" borderId="63" xfId="0" applyNumberFormat="1" applyFont="1" applyFill="1" applyBorder="1" applyAlignment="1">
      <alignment horizontal="center"/>
    </xf>
    <xf numFmtId="176" fontId="68" fillId="0" borderId="11" xfId="0" applyNumberFormat="1" applyFont="1" applyFill="1" applyBorder="1" applyAlignment="1">
      <alignment horizontal="right" vertical="center"/>
    </xf>
    <xf numFmtId="21" fontId="68" fillId="0" borderId="63" xfId="0" applyNumberFormat="1" applyFont="1" applyFill="1" applyBorder="1" applyAlignment="1">
      <alignment horizontal="left"/>
    </xf>
    <xf numFmtId="21" fontId="68" fillId="0" borderId="74" xfId="0" applyNumberFormat="1" applyFont="1" applyFill="1" applyBorder="1" applyAlignment="1">
      <alignment horizontal="left"/>
    </xf>
    <xf numFmtId="0" fontId="68" fillId="0" borderId="39" xfId="0" quotePrefix="1" applyNumberFormat="1" applyFont="1" applyFill="1" applyBorder="1" applyAlignment="1">
      <alignment horizontal="center"/>
    </xf>
    <xf numFmtId="0" fontId="68" fillId="0" borderId="13" xfId="0" applyFont="1" applyFill="1" applyBorder="1" applyAlignment="1">
      <alignment horizontal="center"/>
    </xf>
    <xf numFmtId="180" fontId="66" fillId="0" borderId="66" xfId="0" applyNumberFormat="1" applyFont="1" applyFill="1" applyBorder="1" applyAlignment="1">
      <alignment vertical="center"/>
    </xf>
    <xf numFmtId="0" fontId="68" fillId="0" borderId="40" xfId="0" applyFont="1" applyFill="1" applyBorder="1" applyAlignment="1"/>
    <xf numFmtId="21" fontId="68" fillId="0" borderId="67" xfId="0" applyNumberFormat="1" applyFont="1" applyFill="1" applyBorder="1" applyAlignment="1">
      <alignment horizontal="left"/>
    </xf>
    <xf numFmtId="180" fontId="68" fillId="0" borderId="69" xfId="0" applyNumberFormat="1" applyFont="1" applyFill="1" applyBorder="1" applyAlignment="1">
      <alignment horizontal="left"/>
    </xf>
    <xf numFmtId="180" fontId="68" fillId="0" borderId="47" xfId="0" applyNumberFormat="1" applyFont="1" applyFill="1" applyBorder="1" applyAlignment="1">
      <alignment horizontal="center"/>
    </xf>
    <xf numFmtId="0" fontId="68" fillId="0" borderId="13" xfId="0" applyFont="1" applyFill="1" applyBorder="1" applyAlignment="1">
      <alignment horizontal="left"/>
    </xf>
    <xf numFmtId="0" fontId="68" fillId="0" borderId="13" xfId="0" applyNumberFormat="1" applyFont="1" applyFill="1" applyBorder="1" applyAlignment="1">
      <alignment horizontal="center"/>
    </xf>
    <xf numFmtId="180" fontId="66" fillId="0" borderId="69" xfId="0" applyNumberFormat="1" applyFont="1" applyFill="1" applyBorder="1" applyAlignment="1">
      <alignment vertical="center"/>
    </xf>
    <xf numFmtId="56" fontId="63" fillId="25" borderId="32" xfId="0" applyNumberFormat="1" applyFont="1" applyFill="1" applyBorder="1" applyAlignment="1">
      <alignment horizontal="right" vertical="center"/>
    </xf>
    <xf numFmtId="180" fontId="63" fillId="25" borderId="41" xfId="0" applyNumberFormat="1" applyFont="1" applyFill="1" applyBorder="1" applyAlignment="1">
      <alignment horizontal="center" vertical="center"/>
    </xf>
    <xf numFmtId="0" fontId="60" fillId="0" borderId="0" xfId="0" applyFont="1" applyAlignment="1">
      <alignment horizontal="center" vertical="center"/>
    </xf>
    <xf numFmtId="0" fontId="60" fillId="0" borderId="0" xfId="0" applyFont="1" applyAlignment="1">
      <alignment vertical="center"/>
    </xf>
    <xf numFmtId="0" fontId="57" fillId="0" borderId="0" xfId="0" applyFont="1" applyAlignment="1">
      <alignment horizontal="center" vertical="center"/>
    </xf>
    <xf numFmtId="0" fontId="57" fillId="0" borderId="0" xfId="0" applyFont="1" applyAlignment="1">
      <alignment vertical="center"/>
    </xf>
    <xf numFmtId="0" fontId="76" fillId="0" borderId="0" xfId="0" applyFont="1" applyAlignment="1"/>
    <xf numFmtId="0" fontId="66" fillId="0" borderId="0" xfId="0" applyFont="1" applyBorder="1" applyAlignment="1">
      <alignment horizontal="right" vertical="center" shrinkToFit="1"/>
    </xf>
    <xf numFmtId="0" fontId="66" fillId="0" borderId="0" xfId="0" applyFont="1" applyBorder="1" applyAlignment="1">
      <alignment vertical="center" shrinkToFit="1"/>
    </xf>
    <xf numFmtId="0" fontId="63" fillId="0" borderId="0" xfId="0" applyFont="1" applyAlignment="1"/>
    <xf numFmtId="176" fontId="69" fillId="25" borderId="31" xfId="0" applyNumberFormat="1" applyFont="1" applyFill="1" applyBorder="1" applyAlignment="1">
      <alignment horizontal="center" vertical="center"/>
    </xf>
    <xf numFmtId="176" fontId="69" fillId="25" borderId="90" xfId="0" applyNumberFormat="1" applyFont="1" applyFill="1" applyBorder="1" applyAlignment="1">
      <alignment horizontal="center" vertical="center"/>
    </xf>
    <xf numFmtId="0" fontId="62" fillId="0" borderId="0" xfId="0" applyFont="1" applyAlignment="1"/>
    <xf numFmtId="0" fontId="77" fillId="0" borderId="0" xfId="0" applyFont="1" applyAlignment="1"/>
    <xf numFmtId="0" fontId="69" fillId="25" borderId="90" xfId="0" applyFont="1" applyFill="1" applyBorder="1" applyAlignment="1">
      <alignment horizontal="center" vertical="center"/>
    </xf>
    <xf numFmtId="184" fontId="66" fillId="25" borderId="24" xfId="0" applyNumberFormat="1" applyFont="1" applyFill="1" applyBorder="1" applyAlignment="1">
      <alignment horizontal="center" vertical="center"/>
    </xf>
    <xf numFmtId="184" fontId="66" fillId="25" borderId="25" xfId="0" applyNumberFormat="1" applyFont="1" applyFill="1" applyBorder="1" applyAlignment="1">
      <alignment horizontal="center" vertical="center"/>
    </xf>
    <xf numFmtId="184" fontId="66" fillId="25" borderId="91" xfId="0" applyNumberFormat="1" applyFont="1" applyFill="1" applyBorder="1" applyAlignment="1">
      <alignment horizontal="center" vertical="center"/>
    </xf>
    <xf numFmtId="183" fontId="69" fillId="25" borderId="24" xfId="0" applyNumberFormat="1" applyFont="1" applyFill="1" applyBorder="1" applyAlignment="1">
      <alignment horizontal="center" vertical="center" wrapText="1"/>
    </xf>
    <xf numFmtId="0" fontId="66" fillId="0" borderId="102"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77" xfId="0" applyFont="1" applyBorder="1" applyAlignment="1">
      <alignment horizontal="center" vertical="center"/>
    </xf>
    <xf numFmtId="0" fontId="68" fillId="0" borderId="77" xfId="0" applyFont="1" applyBorder="1" applyAlignment="1">
      <alignment horizontal="center" vertical="center" wrapText="1"/>
    </xf>
    <xf numFmtId="0" fontId="66" fillId="0" borderId="14" xfId="0" applyFont="1" applyBorder="1" applyAlignment="1">
      <alignment horizontal="center" vertical="center" shrinkToFit="1"/>
    </xf>
    <xf numFmtId="0" fontId="66" fillId="0" borderId="0" xfId="0" applyFont="1" applyAlignment="1">
      <alignment horizontal="center"/>
    </xf>
    <xf numFmtId="0" fontId="66" fillId="0" borderId="78" xfId="0" applyFont="1" applyBorder="1" applyAlignment="1">
      <alignment horizontal="center" vertical="center" wrapText="1"/>
    </xf>
    <xf numFmtId="176" fontId="66" fillId="0" borderId="36" xfId="0" quotePrefix="1" applyNumberFormat="1" applyFont="1" applyBorder="1" applyAlignment="1">
      <alignment horizontal="center"/>
    </xf>
    <xf numFmtId="179" fontId="68" fillId="0" borderId="10" xfId="0" quotePrefix="1" applyNumberFormat="1" applyFont="1" applyBorder="1" applyAlignment="1">
      <alignment horizontal="right"/>
    </xf>
    <xf numFmtId="179" fontId="68" fillId="0" borderId="10" xfId="0" quotePrefix="1" applyNumberFormat="1" applyFont="1" applyFill="1" applyBorder="1" applyAlignment="1"/>
    <xf numFmtId="179" fontId="68" fillId="0" borderId="10" xfId="0" quotePrefix="1" applyNumberFormat="1" applyFont="1" applyBorder="1" applyAlignment="1"/>
    <xf numFmtId="179" fontId="68" fillId="0" borderId="10" xfId="0" applyNumberFormat="1" applyFont="1" applyBorder="1" applyAlignment="1"/>
    <xf numFmtId="0" fontId="66" fillId="0" borderId="10" xfId="0" applyFont="1" applyBorder="1" applyAlignment="1">
      <alignment horizontal="center"/>
    </xf>
    <xf numFmtId="0" fontId="66" fillId="0" borderId="79" xfId="0" applyFont="1" applyBorder="1" applyAlignment="1">
      <alignment horizontal="center"/>
    </xf>
    <xf numFmtId="179" fontId="68" fillId="0" borderId="0" xfId="0" applyNumberFormat="1" applyFont="1" applyBorder="1" applyAlignment="1">
      <alignment horizontal="center"/>
    </xf>
    <xf numFmtId="176" fontId="66" fillId="0" borderId="10" xfId="0" quotePrefix="1" applyNumberFormat="1" applyFont="1" applyBorder="1" applyAlignment="1">
      <alignment horizontal="center"/>
    </xf>
    <xf numFmtId="182" fontId="68" fillId="0" borderId="11" xfId="0" applyNumberFormat="1" applyFont="1" applyBorder="1" applyAlignment="1">
      <alignment horizontal="right" shrinkToFit="1"/>
    </xf>
    <xf numFmtId="176" fontId="66" fillId="0" borderId="37" xfId="0" quotePrefix="1" applyNumberFormat="1" applyFont="1" applyBorder="1" applyAlignment="1">
      <alignment horizontal="center"/>
    </xf>
    <xf numFmtId="179" fontId="68" fillId="0" borderId="11" xfId="0" quotePrefix="1" applyNumberFormat="1" applyFont="1" applyBorder="1" applyAlignment="1">
      <alignment horizontal="right"/>
    </xf>
    <xf numFmtId="179" fontId="68" fillId="0" borderId="11" xfId="0" quotePrefix="1" applyNumberFormat="1" applyFont="1" applyFill="1" applyBorder="1" applyAlignment="1">
      <alignment horizontal="right"/>
    </xf>
    <xf numFmtId="179" fontId="68" fillId="0" borderId="11" xfId="0" applyNumberFormat="1" applyFont="1" applyBorder="1" applyAlignment="1"/>
    <xf numFmtId="0" fontId="66" fillId="0" borderId="11" xfId="0" applyFont="1" applyBorder="1" applyAlignment="1">
      <alignment horizontal="center"/>
    </xf>
    <xf numFmtId="0" fontId="66" fillId="0" borderId="80" xfId="0" applyFont="1" applyBorder="1" applyAlignment="1">
      <alignment horizontal="center"/>
    </xf>
    <xf numFmtId="179" fontId="68" fillId="0" borderId="0" xfId="0" quotePrefix="1" applyNumberFormat="1" applyFont="1" applyBorder="1" applyAlignment="1">
      <alignment horizontal="center"/>
    </xf>
    <xf numFmtId="176" fontId="66" fillId="0" borderId="11" xfId="0" quotePrefix="1" applyNumberFormat="1" applyFont="1" applyBorder="1" applyAlignment="1">
      <alignment horizontal="center"/>
    </xf>
    <xf numFmtId="179" fontId="78" fillId="0" borderId="11" xfId="0" quotePrefix="1" applyNumberFormat="1" applyFont="1" applyBorder="1" applyAlignment="1">
      <alignment horizontal="right"/>
    </xf>
    <xf numFmtId="179" fontId="78" fillId="0" borderId="11" xfId="0" quotePrefix="1" applyNumberFormat="1" applyFont="1" applyFill="1" applyBorder="1" applyAlignment="1">
      <alignment horizontal="right"/>
    </xf>
    <xf numFmtId="179" fontId="79" fillId="0" borderId="11" xfId="0" quotePrefix="1" applyNumberFormat="1" applyFont="1" applyBorder="1" applyAlignment="1">
      <alignment horizontal="right"/>
    </xf>
    <xf numFmtId="179" fontId="68" fillId="0" borderId="11" xfId="0" quotePrefix="1" applyNumberFormat="1" applyFont="1" applyBorder="1" applyAlignment="1"/>
    <xf numFmtId="179" fontId="78" fillId="0" borderId="11" xfId="0" quotePrefix="1" applyNumberFormat="1" applyFont="1" applyBorder="1" applyAlignment="1"/>
    <xf numFmtId="176" fontId="66" fillId="0" borderId="38" xfId="0" quotePrefix="1" applyNumberFormat="1" applyFont="1" applyBorder="1" applyAlignment="1">
      <alignment horizontal="center"/>
    </xf>
    <xf numFmtId="0" fontId="68" fillId="0" borderId="49" xfId="0" applyFont="1" applyFill="1" applyBorder="1" applyAlignment="1">
      <alignment horizontal="left"/>
    </xf>
    <xf numFmtId="179" fontId="68" fillId="0" borderId="12" xfId="0" quotePrefix="1" applyNumberFormat="1" applyFont="1" applyBorder="1" applyAlignment="1">
      <alignment horizontal="right"/>
    </xf>
    <xf numFmtId="179" fontId="79" fillId="0" borderId="12" xfId="0" quotePrefix="1" applyNumberFormat="1" applyFont="1" applyBorder="1" applyAlignment="1">
      <alignment horizontal="right"/>
    </xf>
    <xf numFmtId="179" fontId="78" fillId="0" borderId="12" xfId="0" quotePrefix="1" applyNumberFormat="1" applyFont="1" applyFill="1" applyBorder="1" applyAlignment="1">
      <alignment horizontal="right"/>
    </xf>
    <xf numFmtId="179" fontId="68" fillId="0" borderId="12" xfId="0" applyNumberFormat="1" applyFont="1" applyBorder="1" applyAlignment="1"/>
    <xf numFmtId="0" fontId="66" fillId="0" borderId="12" xfId="0" applyFont="1" applyBorder="1" applyAlignment="1">
      <alignment horizontal="center"/>
    </xf>
    <xf numFmtId="0" fontId="66" fillId="0" borderId="81" xfId="0" applyFont="1" applyBorder="1" applyAlignment="1">
      <alignment horizontal="center"/>
    </xf>
    <xf numFmtId="176" fontId="66" fillId="0" borderId="12" xfId="0" quotePrefix="1" applyNumberFormat="1" applyFont="1" applyBorder="1" applyAlignment="1">
      <alignment horizontal="center"/>
    </xf>
    <xf numFmtId="182" fontId="68" fillId="0" borderId="12" xfId="0" applyNumberFormat="1" applyFont="1" applyBorder="1" applyAlignment="1">
      <alignment horizontal="right" shrinkToFit="1"/>
    </xf>
    <xf numFmtId="179" fontId="68" fillId="0" borderId="12" xfId="0" applyNumberFormat="1" applyFont="1" applyBorder="1" applyAlignment="1">
      <alignment horizontal="right"/>
    </xf>
    <xf numFmtId="179" fontId="78" fillId="0" borderId="12" xfId="0" quotePrefix="1" applyNumberFormat="1" applyFont="1" applyBorder="1" applyAlignment="1">
      <alignment horizontal="right"/>
    </xf>
    <xf numFmtId="179" fontId="68" fillId="0" borderId="10" xfId="0" applyNumberFormat="1" applyFont="1" applyBorder="1" applyAlignment="1">
      <alignment horizontal="right"/>
    </xf>
    <xf numFmtId="179" fontId="68" fillId="0" borderId="13" xfId="0" applyNumberFormat="1" applyFont="1" applyBorder="1" applyAlignment="1"/>
    <xf numFmtId="0" fontId="66" fillId="0" borderId="13" xfId="0" applyFont="1" applyBorder="1" applyAlignment="1">
      <alignment horizontal="center"/>
    </xf>
    <xf numFmtId="0" fontId="66" fillId="0" borderId="82" xfId="0" applyFont="1" applyBorder="1" applyAlignment="1">
      <alignment horizontal="center"/>
    </xf>
    <xf numFmtId="182" fontId="68" fillId="0" borderId="13" xfId="0" applyNumberFormat="1" applyFont="1" applyBorder="1" applyAlignment="1">
      <alignment horizontal="right" shrinkToFit="1"/>
    </xf>
    <xf numFmtId="179" fontId="78" fillId="0" borderId="10" xfId="0" quotePrefix="1" applyNumberFormat="1" applyFont="1" applyBorder="1" applyAlignment="1">
      <alignment horizontal="right"/>
    </xf>
    <xf numFmtId="0" fontId="66" fillId="0" borderId="67" xfId="0" applyFont="1" applyBorder="1" applyAlignment="1">
      <alignment horizontal="center"/>
    </xf>
    <xf numFmtId="179" fontId="68" fillId="0" borderId="11" xfId="0" applyNumberFormat="1" applyFont="1" applyBorder="1" applyAlignment="1">
      <alignment horizontal="right"/>
    </xf>
    <xf numFmtId="0" fontId="66" fillId="0" borderId="74" xfId="0" applyFont="1" applyBorder="1" applyAlignment="1">
      <alignment horizontal="center"/>
    </xf>
    <xf numFmtId="0" fontId="66" fillId="0" borderId="63" xfId="0" applyFont="1" applyBorder="1" applyAlignment="1">
      <alignment horizontal="center"/>
    </xf>
    <xf numFmtId="179" fontId="79" fillId="0" borderId="10" xfId="0" quotePrefix="1" applyNumberFormat="1" applyFont="1" applyBorder="1" applyAlignment="1">
      <alignment horizontal="right"/>
    </xf>
    <xf numFmtId="176" fontId="68" fillId="0" borderId="13" xfId="0" applyNumberFormat="1" applyFont="1" applyFill="1" applyBorder="1" applyAlignment="1">
      <alignment horizontal="right" vertical="center"/>
    </xf>
    <xf numFmtId="179" fontId="68" fillId="0" borderId="13" xfId="0" quotePrefix="1" applyNumberFormat="1" applyFont="1" applyBorder="1" applyAlignment="1">
      <alignment horizontal="right"/>
    </xf>
    <xf numFmtId="179" fontId="78" fillId="0" borderId="13" xfId="0" quotePrefix="1" applyNumberFormat="1" applyFont="1" applyBorder="1" applyAlignment="1">
      <alignment horizontal="right"/>
    </xf>
    <xf numFmtId="176" fontId="68" fillId="0" borderId="11" xfId="0" applyNumberFormat="1" applyFont="1" applyBorder="1" applyAlignment="1"/>
    <xf numFmtId="0" fontId="68" fillId="0" borderId="0" xfId="0" quotePrefix="1" applyNumberFormat="1" applyFont="1" applyBorder="1" applyAlignment="1">
      <alignment horizontal="center"/>
    </xf>
    <xf numFmtId="176" fontId="68" fillId="0" borderId="12" xfId="0" applyNumberFormat="1" applyFont="1" applyBorder="1" applyAlignment="1"/>
    <xf numFmtId="179" fontId="78" fillId="0" borderId="10" xfId="0" applyNumberFormat="1" applyFont="1" applyBorder="1" applyAlignment="1">
      <alignment horizontal="right"/>
    </xf>
    <xf numFmtId="0" fontId="66" fillId="0" borderId="89" xfId="0" applyFont="1" applyBorder="1" applyAlignment="1">
      <alignment horizontal="center"/>
    </xf>
    <xf numFmtId="176" fontId="66" fillId="0" borderId="39" xfId="0" quotePrefix="1" applyNumberFormat="1" applyFont="1" applyBorder="1" applyAlignment="1">
      <alignment horizontal="center"/>
    </xf>
    <xf numFmtId="179" fontId="68" fillId="0" borderId="13" xfId="0" applyNumberFormat="1" applyFont="1" applyBorder="1" applyAlignment="1">
      <alignment horizontal="right"/>
    </xf>
    <xf numFmtId="179" fontId="79" fillId="0" borderId="13" xfId="0" applyNumberFormat="1" applyFont="1" applyBorder="1" applyAlignment="1">
      <alignment horizontal="right"/>
    </xf>
    <xf numFmtId="0" fontId="68" fillId="0" borderId="11" xfId="0" applyFont="1" applyBorder="1" applyAlignment="1">
      <alignment horizontal="left" shrinkToFit="1"/>
    </xf>
    <xf numFmtId="176" fontId="66" fillId="0" borderId="86" xfId="0" quotePrefix="1" applyNumberFormat="1" applyFont="1" applyBorder="1" applyAlignment="1">
      <alignment horizontal="center"/>
    </xf>
    <xf numFmtId="176" fontId="68" fillId="0" borderId="87" xfId="0" applyNumberFormat="1" applyFont="1" applyBorder="1" applyAlignment="1"/>
    <xf numFmtId="0" fontId="68" fillId="0" borderId="87" xfId="0" applyFont="1" applyFill="1" applyBorder="1" applyAlignment="1">
      <alignment horizontal="left"/>
    </xf>
    <xf numFmtId="179" fontId="68" fillId="0" borderId="87" xfId="0" quotePrefix="1" applyNumberFormat="1" applyFont="1" applyBorder="1" applyAlignment="1">
      <alignment horizontal="right"/>
    </xf>
    <xf numFmtId="179" fontId="68" fillId="0" borderId="87" xfId="0" applyNumberFormat="1" applyFont="1" applyBorder="1" applyAlignment="1"/>
    <xf numFmtId="0" fontId="66" fillId="0" borderId="87" xfId="0" applyFont="1" applyBorder="1" applyAlignment="1">
      <alignment horizontal="center"/>
    </xf>
    <xf numFmtId="0" fontId="66" fillId="0" borderId="88" xfId="0" applyFont="1" applyBorder="1" applyAlignment="1">
      <alignment horizontal="center"/>
    </xf>
    <xf numFmtId="0" fontId="68" fillId="0" borderId="12" xfId="0" applyFont="1" applyBorder="1" applyAlignment="1">
      <alignment horizontal="left" shrinkToFit="1"/>
    </xf>
    <xf numFmtId="176" fontId="68" fillId="0" borderId="83" xfId="0" quotePrefix="1" applyNumberFormat="1" applyFont="1" applyBorder="1" applyAlignment="1">
      <alignment horizontal="center"/>
    </xf>
    <xf numFmtId="0" fontId="66" fillId="0" borderId="83" xfId="0" applyFont="1" applyBorder="1" applyAlignment="1">
      <alignment horizontal="center"/>
    </xf>
    <xf numFmtId="0" fontId="66" fillId="0" borderId="84" xfId="0" applyFont="1" applyBorder="1" applyAlignment="1">
      <alignment horizontal="center"/>
    </xf>
    <xf numFmtId="0" fontId="66" fillId="0" borderId="85" xfId="0" applyFont="1" applyBorder="1" applyAlignment="1">
      <alignment horizontal="center"/>
    </xf>
    <xf numFmtId="176" fontId="68" fillId="0" borderId="13" xfId="0" applyNumberFormat="1" applyFont="1" applyBorder="1" applyAlignment="1"/>
    <xf numFmtId="0" fontId="68" fillId="0" borderId="13" xfId="0" applyFont="1" applyBorder="1" applyAlignment="1">
      <alignment horizontal="left" shrinkToFit="1"/>
    </xf>
    <xf numFmtId="0" fontId="66" fillId="0" borderId="14" xfId="0" applyFont="1" applyBorder="1" applyAlignment="1"/>
    <xf numFmtId="14" fontId="66" fillId="0" borderId="0" xfId="0" applyNumberFormat="1" applyFont="1" applyAlignment="1"/>
    <xf numFmtId="0" fontId="66" fillId="0" borderId="0" xfId="0" applyFont="1" applyAlignment="1">
      <alignment horizontal="center" shrinkToFit="1"/>
    </xf>
    <xf numFmtId="0" fontId="66" fillId="0" borderId="0" xfId="0" applyFont="1" applyAlignment="1">
      <alignment shrinkToFit="1"/>
    </xf>
    <xf numFmtId="0" fontId="66" fillId="0" borderId="50" xfId="0" applyFont="1" applyBorder="1" applyAlignment="1"/>
    <xf numFmtId="0" fontId="66" fillId="0" borderId="51" xfId="0" applyFont="1" applyBorder="1" applyAlignment="1"/>
    <xf numFmtId="0" fontId="66" fillId="0" borderId="52" xfId="0" applyFont="1" applyBorder="1" applyAlignment="1"/>
    <xf numFmtId="0" fontId="66" fillId="0" borderId="53" xfId="0" applyFont="1" applyBorder="1" applyAlignment="1">
      <alignment shrinkToFit="1"/>
    </xf>
    <xf numFmtId="0" fontId="66" fillId="0" borderId="0" xfId="0" applyFont="1" applyBorder="1" applyAlignment="1">
      <alignment horizontal="right"/>
    </xf>
    <xf numFmtId="0" fontId="66" fillId="0" borderId="0" xfId="0" applyFont="1" applyBorder="1" applyAlignment="1"/>
    <xf numFmtId="0" fontId="66" fillId="0" borderId="54" xfId="0" applyFont="1" applyBorder="1" applyAlignment="1">
      <alignment horizontal="right"/>
    </xf>
    <xf numFmtId="0" fontId="67" fillId="0" borderId="0" xfId="0" applyFont="1" applyBorder="1" applyAlignment="1">
      <alignment horizontal="left"/>
    </xf>
    <xf numFmtId="0" fontId="66" fillId="0" borderId="0" xfId="0" applyFont="1" applyBorder="1" applyAlignment="1">
      <alignment wrapText="1" shrinkToFit="1"/>
    </xf>
    <xf numFmtId="0" fontId="80" fillId="0" borderId="0" xfId="0" applyFont="1" applyAlignment="1">
      <alignment horizontal="left" readingOrder="1"/>
    </xf>
    <xf numFmtId="0" fontId="66" fillId="0" borderId="55" xfId="0" applyFont="1" applyBorder="1" applyAlignment="1"/>
    <xf numFmtId="0" fontId="66" fillId="0" borderId="56" xfId="0" applyFont="1" applyBorder="1" applyAlignment="1"/>
    <xf numFmtId="0" fontId="66" fillId="0" borderId="57" xfId="0" applyFont="1" applyBorder="1" applyAlignment="1"/>
    <xf numFmtId="179" fontId="79" fillId="0" borderId="11" xfId="0" quotePrefix="1" applyNumberFormat="1" applyFont="1" applyFill="1" applyBorder="1" applyAlignment="1">
      <alignment horizontal="right"/>
    </xf>
    <xf numFmtId="0" fontId="81" fillId="24" borderId="14" xfId="0" applyFont="1" applyFill="1" applyBorder="1" applyAlignment="1" applyProtection="1"/>
    <xf numFmtId="0" fontId="82" fillId="27" borderId="14" xfId="0" applyFont="1" applyFill="1" applyBorder="1" applyAlignment="1" applyProtection="1">
      <alignment horizontal="left" indent="1"/>
    </xf>
    <xf numFmtId="2" fontId="83" fillId="0" borderId="16" xfId="0" applyNumberFormat="1" applyFont="1" applyFill="1" applyBorder="1" applyAlignment="1" applyProtection="1">
      <alignment vertical="center"/>
    </xf>
    <xf numFmtId="185" fontId="82" fillId="24" borderId="14" xfId="0" applyNumberFormat="1" applyFont="1" applyFill="1" applyBorder="1" applyAlignment="1" applyProtection="1"/>
    <xf numFmtId="179" fontId="82" fillId="24" borderId="14" xfId="0" applyNumberFormat="1" applyFont="1" applyFill="1" applyBorder="1" applyAlignment="1"/>
    <xf numFmtId="176" fontId="68" fillId="25" borderId="13" xfId="0" applyNumberFormat="1" applyFont="1" applyFill="1" applyBorder="1" applyAlignment="1">
      <alignment horizontal="center"/>
    </xf>
    <xf numFmtId="179" fontId="68" fillId="0" borderId="12" xfId="0" quotePrefix="1" applyNumberFormat="1" applyFont="1" applyBorder="1" applyAlignment="1"/>
    <xf numFmtId="179" fontId="68" fillId="0" borderId="10" xfId="0" quotePrefix="1" applyNumberFormat="1" applyFont="1" applyFill="1" applyBorder="1" applyAlignment="1">
      <alignment horizontal="right"/>
    </xf>
    <xf numFmtId="179" fontId="78" fillId="0" borderId="12" xfId="0" quotePrefix="1" applyNumberFormat="1" applyFont="1" applyFill="1" applyBorder="1" applyAlignment="1"/>
    <xf numFmtId="179" fontId="78" fillId="0" borderId="10" xfId="0" quotePrefix="1" applyNumberFormat="1" applyFont="1" applyFill="1" applyBorder="1" applyAlignment="1">
      <alignment horizontal="right"/>
    </xf>
    <xf numFmtId="179" fontId="78" fillId="0" borderId="11" xfId="0" applyNumberFormat="1" applyFont="1" applyBorder="1" applyAlignment="1">
      <alignment horizontal="right"/>
    </xf>
    <xf numFmtId="0" fontId="84" fillId="0" borderId="14" xfId="0" applyNumberFormat="1" applyFont="1" applyFill="1" applyBorder="1" applyAlignment="1" applyProtection="1">
      <alignment horizontal="center" vertical="center" shrinkToFit="1"/>
    </xf>
    <xf numFmtId="2" fontId="84" fillId="0" borderId="16" xfId="0" applyNumberFormat="1" applyFont="1" applyFill="1" applyBorder="1" applyAlignment="1" applyProtection="1">
      <alignment vertical="center"/>
    </xf>
    <xf numFmtId="2" fontId="84" fillId="0" borderId="14" xfId="0" applyNumberFormat="1" applyFont="1" applyFill="1" applyBorder="1" applyAlignment="1" applyProtection="1">
      <alignment vertical="center" shrinkToFit="1"/>
    </xf>
    <xf numFmtId="2" fontId="84" fillId="0" borderId="17" xfId="0" applyNumberFormat="1" applyFont="1" applyFill="1" applyBorder="1" applyAlignment="1" applyProtection="1">
      <alignment vertical="center"/>
    </xf>
    <xf numFmtId="182" fontId="84" fillId="0" borderId="98" xfId="0" applyNumberFormat="1" applyFont="1" applyFill="1" applyBorder="1" applyAlignment="1">
      <alignment vertical="center"/>
    </xf>
    <xf numFmtId="182" fontId="84" fillId="0" borderId="14" xfId="0" applyNumberFormat="1" applyFont="1" applyFill="1" applyBorder="1" applyAlignment="1">
      <alignment vertical="center"/>
    </xf>
    <xf numFmtId="182" fontId="84" fillId="0" borderId="17" xfId="0" applyNumberFormat="1" applyFont="1" applyFill="1" applyBorder="1" applyAlignment="1">
      <alignment vertical="center"/>
    </xf>
    <xf numFmtId="0" fontId="57" fillId="25" borderId="0" xfId="0" applyFont="1" applyFill="1" applyAlignment="1">
      <alignment horizontal="center"/>
    </xf>
    <xf numFmtId="0" fontId="63" fillId="25" borderId="107" xfId="0" applyFont="1" applyFill="1" applyBorder="1" applyAlignment="1">
      <alignment horizontal="center"/>
    </xf>
    <xf numFmtId="0" fontId="63" fillId="25" borderId="108" xfId="0" applyFont="1" applyFill="1" applyBorder="1" applyAlignment="1">
      <alignment horizontal="center"/>
    </xf>
    <xf numFmtId="0" fontId="68" fillId="25" borderId="94" xfId="0" applyFont="1" applyFill="1" applyBorder="1" applyAlignment="1">
      <alignment horizontal="left" vertical="top" wrapText="1"/>
    </xf>
    <xf numFmtId="0" fontId="68" fillId="25" borderId="110" xfId="0" applyFont="1" applyFill="1" applyBorder="1" applyAlignment="1">
      <alignment horizontal="left" vertical="top" wrapText="1"/>
    </xf>
    <xf numFmtId="0" fontId="68" fillId="25" borderId="113" xfId="0" applyFont="1" applyFill="1" applyBorder="1" applyAlignment="1">
      <alignment horizontal="left" vertical="top" wrapText="1"/>
    </xf>
    <xf numFmtId="0" fontId="68" fillId="25" borderId="92" xfId="0" applyFont="1" applyFill="1" applyBorder="1" applyAlignment="1">
      <alignment horizontal="left" vertical="top" wrapText="1"/>
    </xf>
    <xf numFmtId="0" fontId="68" fillId="25" borderId="0" xfId="0" applyFont="1" applyFill="1" applyBorder="1" applyAlignment="1">
      <alignment horizontal="left" vertical="top" wrapText="1"/>
    </xf>
    <xf numFmtId="0" fontId="68" fillId="25" borderId="25" xfId="0" applyFont="1" applyFill="1" applyBorder="1" applyAlignment="1">
      <alignment horizontal="left" vertical="top" wrapText="1"/>
    </xf>
    <xf numFmtId="0" fontId="68" fillId="25" borderId="84" xfId="0" applyFont="1" applyFill="1" applyBorder="1" applyAlignment="1">
      <alignment horizontal="left" vertical="top" wrapText="1"/>
    </xf>
    <xf numFmtId="0" fontId="68" fillId="25" borderId="34" xfId="0" applyFont="1" applyFill="1" applyBorder="1" applyAlignment="1">
      <alignment horizontal="left" vertical="top" wrapText="1"/>
    </xf>
    <xf numFmtId="0" fontId="68" fillId="25" borderId="114" xfId="0" applyFont="1" applyFill="1" applyBorder="1" applyAlignment="1">
      <alignment horizontal="left" vertical="top" wrapText="1"/>
    </xf>
    <xf numFmtId="0" fontId="56" fillId="25" borderId="110" xfId="0" applyFont="1" applyFill="1" applyBorder="1" applyAlignment="1">
      <alignment horizontal="left" vertical="top" wrapText="1"/>
    </xf>
    <xf numFmtId="0" fontId="56" fillId="25" borderId="101" xfId="0" applyFont="1" applyFill="1" applyBorder="1" applyAlignment="1">
      <alignment horizontal="left" vertical="top" wrapText="1"/>
    </xf>
    <xf numFmtId="0" fontId="56" fillId="25" borderId="0" xfId="0" applyFont="1" applyFill="1" applyBorder="1" applyAlignment="1">
      <alignment horizontal="left" vertical="top" wrapText="1"/>
    </xf>
    <xf numFmtId="0" fontId="56" fillId="25" borderId="105" xfId="0" applyFont="1" applyFill="1" applyBorder="1" applyAlignment="1">
      <alignment horizontal="left" vertical="top" wrapText="1"/>
    </xf>
    <xf numFmtId="56" fontId="56" fillId="25" borderId="110" xfId="0" applyNumberFormat="1" applyFont="1" applyFill="1" applyBorder="1" applyAlignment="1">
      <alignment horizontal="left" vertical="top" wrapText="1"/>
    </xf>
    <xf numFmtId="0" fontId="57" fillId="25" borderId="0" xfId="0" applyNumberFormat="1" applyFont="1" applyFill="1" applyAlignment="1">
      <alignment horizontal="right" vertical="top"/>
    </xf>
    <xf numFmtId="0" fontId="57" fillId="25" borderId="0" xfId="0" applyFont="1" applyFill="1" applyAlignment="1">
      <alignment horizontal="center" wrapText="1"/>
    </xf>
    <xf numFmtId="0" fontId="69" fillId="25" borderId="109" xfId="0" applyFont="1" applyFill="1" applyBorder="1" applyAlignment="1">
      <alignment horizontal="left" vertical="top" wrapText="1"/>
    </xf>
    <xf numFmtId="0" fontId="69" fillId="25" borderId="110" xfId="0" applyFont="1" applyFill="1" applyBorder="1" applyAlignment="1">
      <alignment horizontal="left" vertical="top" wrapText="1"/>
    </xf>
    <xf numFmtId="0" fontId="69" fillId="25" borderId="101" xfId="0" applyFont="1" applyFill="1" applyBorder="1" applyAlignment="1">
      <alignment horizontal="left" vertical="top" wrapText="1"/>
    </xf>
    <xf numFmtId="0" fontId="69" fillId="25" borderId="111" xfId="0" applyFont="1" applyFill="1" applyBorder="1" applyAlignment="1">
      <alignment horizontal="left" vertical="top" wrapText="1"/>
    </xf>
    <xf numFmtId="0" fontId="69" fillId="25" borderId="0" xfId="0" applyFont="1" applyFill="1" applyBorder="1" applyAlignment="1">
      <alignment horizontal="left" vertical="top" wrapText="1"/>
    </xf>
    <xf numFmtId="0" fontId="69" fillId="25" borderId="105" xfId="0" applyFont="1" applyFill="1" applyBorder="1" applyAlignment="1">
      <alignment horizontal="left" vertical="top" wrapText="1"/>
    </xf>
    <xf numFmtId="0" fontId="69" fillId="25" borderId="112" xfId="0" applyFont="1" applyFill="1" applyBorder="1" applyAlignment="1">
      <alignment horizontal="left" vertical="top" wrapText="1"/>
    </xf>
    <xf numFmtId="0" fontId="69" fillId="25" borderId="93" xfId="0" applyFont="1" applyFill="1" applyBorder="1" applyAlignment="1">
      <alignment horizontal="left" vertical="top" wrapText="1"/>
    </xf>
    <xf numFmtId="0" fontId="69" fillId="25" borderId="97" xfId="0" applyFont="1" applyFill="1" applyBorder="1" applyAlignment="1">
      <alignment horizontal="left" vertical="top" wrapText="1"/>
    </xf>
    <xf numFmtId="0" fontId="66" fillId="25" borderId="109" xfId="0" applyFont="1" applyFill="1" applyBorder="1" applyAlignment="1">
      <alignment horizontal="left" vertical="top" wrapText="1"/>
    </xf>
    <xf numFmtId="0" fontId="66" fillId="25" borderId="110" xfId="0" applyFont="1" applyFill="1" applyBorder="1" applyAlignment="1">
      <alignment horizontal="left" vertical="top" wrapText="1"/>
    </xf>
    <xf numFmtId="0" fontId="66" fillId="25" borderId="101" xfId="0" applyFont="1" applyFill="1" applyBorder="1" applyAlignment="1">
      <alignment horizontal="left" vertical="top" wrapText="1"/>
    </xf>
    <xf numFmtId="0" fontId="66" fillId="25" borderId="111" xfId="0" applyFont="1" applyFill="1" applyBorder="1" applyAlignment="1">
      <alignment horizontal="left" vertical="top" wrapText="1"/>
    </xf>
    <xf numFmtId="0" fontId="66" fillId="25" borderId="0" xfId="0" applyFont="1" applyFill="1" applyBorder="1" applyAlignment="1">
      <alignment horizontal="left" vertical="top" wrapText="1"/>
    </xf>
    <xf numFmtId="0" fontId="66" fillId="25" borderId="105" xfId="0" applyFont="1" applyFill="1" applyBorder="1" applyAlignment="1">
      <alignment horizontal="left" vertical="top" wrapText="1"/>
    </xf>
    <xf numFmtId="0" fontId="66" fillId="25" borderId="115" xfId="0" applyFont="1" applyFill="1" applyBorder="1" applyAlignment="1">
      <alignment horizontal="left" vertical="top" wrapText="1"/>
    </xf>
    <xf numFmtId="0" fontId="66" fillId="25" borderId="34" xfId="0" applyFont="1" applyFill="1" applyBorder="1" applyAlignment="1">
      <alignment horizontal="left" vertical="top" wrapText="1"/>
    </xf>
    <xf numFmtId="0" fontId="66" fillId="25" borderId="106" xfId="0" applyFont="1" applyFill="1" applyBorder="1" applyAlignment="1">
      <alignment horizontal="left" vertical="top" wrapText="1"/>
    </xf>
    <xf numFmtId="0" fontId="56" fillId="25" borderId="92" xfId="0" applyFont="1" applyFill="1" applyBorder="1" applyAlignment="1">
      <alignment horizontal="left" vertical="top" wrapText="1"/>
    </xf>
    <xf numFmtId="0" fontId="56" fillId="25" borderId="116" xfId="0" applyFont="1" applyFill="1" applyBorder="1" applyAlignment="1">
      <alignment horizontal="left" vertical="top" wrapText="1"/>
    </xf>
    <xf numFmtId="0" fontId="56" fillId="25" borderId="34" xfId="0" applyFont="1" applyFill="1" applyBorder="1" applyAlignment="1">
      <alignment horizontal="center" vertical="top" wrapText="1"/>
    </xf>
    <xf numFmtId="0" fontId="56" fillId="25" borderId="106" xfId="0" applyFont="1" applyFill="1" applyBorder="1" applyAlignment="1">
      <alignment horizontal="center" vertical="top" wrapText="1"/>
    </xf>
    <xf numFmtId="0" fontId="57" fillId="0" borderId="0" xfId="0" applyNumberFormat="1" applyFont="1" applyFill="1" applyAlignment="1">
      <alignment horizontal="right" vertical="top"/>
    </xf>
    <xf numFmtId="0" fontId="57" fillId="0" borderId="0" xfId="0" applyFont="1" applyAlignment="1">
      <alignment horizontal="center" wrapText="1"/>
    </xf>
    <xf numFmtId="0" fontId="57" fillId="0" borderId="0" xfId="0" applyFont="1" applyAlignment="1">
      <alignment horizontal="center"/>
    </xf>
    <xf numFmtId="0" fontId="63" fillId="0" borderId="107" xfId="0" applyFont="1" applyFill="1" applyBorder="1" applyAlignment="1">
      <alignment horizontal="center"/>
    </xf>
    <xf numFmtId="0" fontId="63" fillId="0" borderId="108" xfId="0" applyFont="1" applyFill="1" applyBorder="1" applyAlignment="1">
      <alignment horizontal="center"/>
    </xf>
    <xf numFmtId="0" fontId="69" fillId="0" borderId="109" xfId="0" applyFont="1" applyFill="1" applyBorder="1" applyAlignment="1">
      <alignment horizontal="left" vertical="top" wrapText="1"/>
    </xf>
    <xf numFmtId="0" fontId="69" fillId="0" borderId="110" xfId="0" applyFont="1" applyFill="1" applyBorder="1" applyAlignment="1">
      <alignment horizontal="left" vertical="top" wrapText="1"/>
    </xf>
    <xf numFmtId="0" fontId="69" fillId="0" borderId="101" xfId="0" applyFont="1" applyFill="1" applyBorder="1" applyAlignment="1">
      <alignment horizontal="left" vertical="top" wrapText="1"/>
    </xf>
    <xf numFmtId="0" fontId="69" fillId="0" borderId="111" xfId="0" applyFont="1" applyFill="1" applyBorder="1" applyAlignment="1">
      <alignment horizontal="left" vertical="top" wrapText="1"/>
    </xf>
    <xf numFmtId="0" fontId="69" fillId="0" borderId="0" xfId="0" applyFont="1" applyFill="1" applyBorder="1" applyAlignment="1">
      <alignment horizontal="left" vertical="top" wrapText="1"/>
    </xf>
    <xf numFmtId="0" fontId="69" fillId="0" borderId="105" xfId="0" applyFont="1" applyFill="1" applyBorder="1" applyAlignment="1">
      <alignment horizontal="left" vertical="top" wrapText="1"/>
    </xf>
    <xf numFmtId="0" fontId="69" fillId="0" borderId="112" xfId="0" applyFont="1" applyFill="1" applyBorder="1" applyAlignment="1">
      <alignment horizontal="left" vertical="top" wrapText="1"/>
    </xf>
    <xf numFmtId="0" fontId="69" fillId="0" borderId="93" xfId="0" applyFont="1" applyFill="1" applyBorder="1" applyAlignment="1">
      <alignment horizontal="left" vertical="top" wrapText="1"/>
    </xf>
    <xf numFmtId="0" fontId="69" fillId="0" borderId="97" xfId="0" applyFont="1" applyFill="1" applyBorder="1" applyAlignment="1">
      <alignment horizontal="left" vertical="top" wrapText="1"/>
    </xf>
    <xf numFmtId="0" fontId="68" fillId="0" borderId="94" xfId="0" applyFont="1" applyFill="1" applyBorder="1" applyAlignment="1">
      <alignment horizontal="left" vertical="top" wrapText="1"/>
    </xf>
    <xf numFmtId="0" fontId="68" fillId="0" borderId="110" xfId="0" applyFont="1" applyFill="1" applyBorder="1" applyAlignment="1">
      <alignment horizontal="left" vertical="top" wrapText="1"/>
    </xf>
    <xf numFmtId="0" fontId="68" fillId="0" borderId="113" xfId="0" applyFont="1" applyFill="1" applyBorder="1" applyAlignment="1">
      <alignment horizontal="left" vertical="top" wrapText="1"/>
    </xf>
    <xf numFmtId="0" fontId="68" fillId="0" borderId="92" xfId="0" applyFont="1" applyFill="1" applyBorder="1" applyAlignment="1">
      <alignment horizontal="left" vertical="top" wrapText="1"/>
    </xf>
    <xf numFmtId="0" fontId="68" fillId="0" borderId="0" xfId="0" applyFont="1" applyFill="1" applyBorder="1" applyAlignment="1">
      <alignment horizontal="left" vertical="top" wrapText="1"/>
    </xf>
    <xf numFmtId="0" fontId="68" fillId="0" borderId="25" xfId="0" applyFont="1" applyFill="1" applyBorder="1" applyAlignment="1">
      <alignment horizontal="left" vertical="top" wrapText="1"/>
    </xf>
    <xf numFmtId="0" fontId="68" fillId="0" borderId="84" xfId="0" applyFont="1" applyFill="1" applyBorder="1" applyAlignment="1">
      <alignment horizontal="left" vertical="top" wrapText="1"/>
    </xf>
    <xf numFmtId="0" fontId="68" fillId="0" borderId="34" xfId="0" applyFont="1" applyFill="1" applyBorder="1" applyAlignment="1">
      <alignment horizontal="left" vertical="top" wrapText="1"/>
    </xf>
    <xf numFmtId="0" fontId="68" fillId="0" borderId="114" xfId="0" applyFont="1" applyFill="1" applyBorder="1" applyAlignment="1">
      <alignment horizontal="left" vertical="top" wrapText="1"/>
    </xf>
    <xf numFmtId="0" fontId="66" fillId="0" borderId="109" xfId="0" applyFont="1" applyFill="1" applyBorder="1" applyAlignment="1">
      <alignment horizontal="left" vertical="top" wrapText="1"/>
    </xf>
    <xf numFmtId="0" fontId="66" fillId="0" borderId="110" xfId="0" applyFont="1" applyFill="1" applyBorder="1" applyAlignment="1">
      <alignment horizontal="left" vertical="top" wrapText="1"/>
    </xf>
    <xf numFmtId="0" fontId="66" fillId="0" borderId="101" xfId="0" applyFont="1" applyFill="1" applyBorder="1" applyAlignment="1">
      <alignment horizontal="left" vertical="top" wrapText="1"/>
    </xf>
    <xf numFmtId="0" fontId="66" fillId="0" borderId="111" xfId="0" applyFont="1" applyFill="1" applyBorder="1" applyAlignment="1">
      <alignment horizontal="left" vertical="top" wrapText="1"/>
    </xf>
    <xf numFmtId="0" fontId="66" fillId="0" borderId="0" xfId="0" applyFont="1" applyFill="1" applyBorder="1" applyAlignment="1">
      <alignment horizontal="left" vertical="top" wrapText="1"/>
    </xf>
    <xf numFmtId="0" fontId="66" fillId="0" borderId="105" xfId="0" applyFont="1" applyFill="1" applyBorder="1" applyAlignment="1">
      <alignment horizontal="left" vertical="top" wrapText="1"/>
    </xf>
    <xf numFmtId="0" fontId="66" fillId="0" borderId="115" xfId="0" applyFont="1" applyFill="1" applyBorder="1" applyAlignment="1">
      <alignment horizontal="left" vertical="top" wrapText="1"/>
    </xf>
    <xf numFmtId="0" fontId="66" fillId="0" borderId="34" xfId="0" applyFont="1" applyFill="1" applyBorder="1" applyAlignment="1">
      <alignment horizontal="left" vertical="top" wrapText="1"/>
    </xf>
    <xf numFmtId="0" fontId="66" fillId="0" borderId="106" xfId="0" applyFont="1" applyFill="1" applyBorder="1" applyAlignment="1">
      <alignment horizontal="left" vertical="top" wrapText="1"/>
    </xf>
    <xf numFmtId="0" fontId="66" fillId="0" borderId="53" xfId="0" applyFont="1" applyBorder="1" applyAlignment="1">
      <alignment horizontal="left" shrinkToFit="1"/>
    </xf>
    <xf numFmtId="0" fontId="66" fillId="0" borderId="0" xfId="0" applyFont="1" applyBorder="1" applyAlignment="1">
      <alignment horizontal="left" shrinkToFit="1"/>
    </xf>
    <xf numFmtId="0" fontId="66" fillId="0" borderId="0" xfId="0" applyFont="1" applyBorder="1" applyAlignment="1">
      <alignment horizontal="right" vertical="center" shrinkToFit="1"/>
    </xf>
    <xf numFmtId="0" fontId="66" fillId="0" borderId="115" xfId="0" applyFont="1" applyBorder="1" applyAlignment="1">
      <alignment horizontal="center" vertical="center"/>
    </xf>
    <xf numFmtId="0" fontId="66" fillId="0" borderId="34" xfId="0" applyFont="1" applyBorder="1" applyAlignment="1">
      <alignment horizontal="center" vertical="center"/>
    </xf>
    <xf numFmtId="0" fontId="66" fillId="0" borderId="106" xfId="0" applyFont="1" applyBorder="1" applyAlignment="1">
      <alignment horizontal="center" vertical="center"/>
    </xf>
    <xf numFmtId="0" fontId="66" fillId="0" borderId="0" xfId="0" applyFont="1" applyAlignment="1">
      <alignment horizontal="center" shrinkToFit="1"/>
    </xf>
    <xf numFmtId="0" fontId="57" fillId="0" borderId="0" xfId="0" applyFont="1" applyAlignment="1">
      <alignment horizontal="center" vertical="center"/>
    </xf>
    <xf numFmtId="0" fontId="60" fillId="0" borderId="0" xfId="0" applyFont="1" applyAlignment="1">
      <alignment horizontal="center" vertical="center"/>
    </xf>
    <xf numFmtId="0" fontId="66" fillId="0" borderId="15" xfId="0" applyFont="1" applyBorder="1" applyAlignment="1">
      <alignment horizontal="center" vertical="center"/>
    </xf>
    <xf numFmtId="0" fontId="66" fillId="0" borderId="16" xfId="0" applyFont="1" applyBorder="1" applyAlignment="1">
      <alignment horizontal="center" vertical="center"/>
    </xf>
    <xf numFmtId="0" fontId="68" fillId="0" borderId="32" xfId="0" applyFont="1" applyBorder="1" applyAlignment="1">
      <alignment horizontal="center" vertical="center" wrapText="1"/>
    </xf>
    <xf numFmtId="0" fontId="68" fillId="0" borderId="14" xfId="0" applyFont="1" applyBorder="1" applyAlignment="1">
      <alignment horizontal="center" vertical="center" wrapText="1"/>
    </xf>
    <xf numFmtId="0" fontId="66" fillId="0" borderId="32" xfId="0" applyFont="1" applyBorder="1" applyAlignment="1">
      <alignment horizontal="center" vertical="center" shrinkToFit="1"/>
    </xf>
    <xf numFmtId="0" fontId="66" fillId="0" borderId="14" xfId="0" applyFont="1" applyBorder="1" applyAlignment="1">
      <alignment horizontal="center" vertical="center" shrinkToFit="1"/>
    </xf>
    <xf numFmtId="0" fontId="66" fillId="0" borderId="32" xfId="0" applyFont="1" applyBorder="1" applyAlignment="1">
      <alignment horizontal="center" vertical="center"/>
    </xf>
    <xf numFmtId="0" fontId="66" fillId="0" borderId="14" xfId="0" applyFont="1" applyBorder="1" applyAlignment="1">
      <alignment horizontal="center" vertical="center"/>
    </xf>
    <xf numFmtId="0" fontId="66" fillId="0" borderId="32" xfId="0" applyFont="1" applyBorder="1" applyAlignment="1">
      <alignment horizontal="center" vertical="center" textRotation="255"/>
    </xf>
    <xf numFmtId="0" fontId="66" fillId="0" borderId="14" xfId="0" applyFont="1" applyBorder="1" applyAlignment="1">
      <alignment horizontal="center" vertical="center" textRotation="255"/>
    </xf>
    <xf numFmtId="0" fontId="66" fillId="0" borderId="123" xfId="0" applyFont="1" applyBorder="1" applyAlignment="1">
      <alignment horizontal="center" vertical="center" textRotation="255"/>
    </xf>
    <xf numFmtId="0" fontId="66" fillId="0" borderId="124" xfId="0" applyFont="1" applyBorder="1" applyAlignment="1">
      <alignment horizontal="center" vertical="center" textRotation="255"/>
    </xf>
    <xf numFmtId="0" fontId="66" fillId="0" borderId="117" xfId="0" applyFont="1" applyBorder="1" applyAlignment="1">
      <alignment horizontal="center" vertical="center"/>
    </xf>
    <xf numFmtId="0" fontId="66" fillId="0" borderId="118" xfId="0" applyFont="1" applyBorder="1" applyAlignment="1">
      <alignment horizontal="center" vertical="center"/>
    </xf>
    <xf numFmtId="0" fontId="66" fillId="0" borderId="119" xfId="0" applyFont="1" applyBorder="1" applyAlignment="1">
      <alignment horizontal="center" vertical="center"/>
    </xf>
    <xf numFmtId="0" fontId="66" fillId="0" borderId="30" xfId="0" applyFont="1" applyBorder="1" applyAlignment="1">
      <alignment horizontal="center" vertical="center"/>
    </xf>
    <xf numFmtId="0" fontId="66" fillId="0" borderId="23" xfId="0" applyFont="1" applyBorder="1" applyAlignment="1">
      <alignment horizontal="center" vertical="center"/>
    </xf>
    <xf numFmtId="0" fontId="66" fillId="0" borderId="43" xfId="0" applyFont="1" applyBorder="1" applyAlignment="1">
      <alignment horizontal="center" vertical="center"/>
    </xf>
    <xf numFmtId="0" fontId="68" fillId="0" borderId="31"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9" xfId="0" applyFont="1" applyBorder="1" applyAlignment="1">
      <alignment horizontal="center" vertical="center" wrapText="1"/>
    </xf>
    <xf numFmtId="0" fontId="66" fillId="0" borderId="31" xfId="0" applyFont="1" applyBorder="1" applyAlignment="1">
      <alignment horizontal="center" vertical="center" shrinkToFit="1"/>
    </xf>
    <xf numFmtId="0" fontId="66" fillId="0" borderId="24" xfId="0" applyFont="1" applyBorder="1" applyAlignment="1">
      <alignment horizontal="center" vertical="center" shrinkToFit="1"/>
    </xf>
    <xf numFmtId="0" fontId="66" fillId="0" borderId="29" xfId="0" applyFont="1" applyBorder="1" applyAlignment="1">
      <alignment horizontal="center" vertical="center" shrinkToFit="1"/>
    </xf>
    <xf numFmtId="0" fontId="66" fillId="0" borderId="31" xfId="0" applyFont="1" applyBorder="1" applyAlignment="1">
      <alignment horizontal="center" vertical="center"/>
    </xf>
    <xf numFmtId="0" fontId="66" fillId="0" borderId="24" xfId="0" applyFont="1" applyBorder="1" applyAlignment="1">
      <alignment horizontal="center" vertical="center"/>
    </xf>
    <xf numFmtId="0" fontId="66" fillId="0" borderId="29" xfId="0" applyFont="1" applyBorder="1" applyAlignment="1">
      <alignment horizontal="center" vertical="center"/>
    </xf>
    <xf numFmtId="0" fontId="66" fillId="0" borderId="31" xfId="0" applyFont="1" applyBorder="1" applyAlignment="1">
      <alignment horizontal="center" vertical="center" textRotation="255"/>
    </xf>
    <xf numFmtId="0" fontId="66" fillId="0" borderId="24" xfId="0" applyFont="1" applyBorder="1" applyAlignment="1">
      <alignment horizontal="center" vertical="center" textRotation="255"/>
    </xf>
    <xf numFmtId="0" fontId="66" fillId="0" borderId="29" xfId="0" applyFont="1" applyBorder="1" applyAlignment="1">
      <alignment horizontal="center" vertical="center" textRotation="255"/>
    </xf>
    <xf numFmtId="0" fontId="66" fillId="0" borderId="120" xfId="0" applyFont="1" applyBorder="1" applyAlignment="1">
      <alignment horizontal="center" vertical="center" textRotation="255"/>
    </xf>
    <xf numFmtId="0" fontId="66" fillId="0" borderId="121" xfId="0" applyFont="1" applyBorder="1" applyAlignment="1">
      <alignment horizontal="center" vertical="center" textRotation="255"/>
    </xf>
    <xf numFmtId="0" fontId="66" fillId="0" borderId="122" xfId="0" applyFont="1" applyBorder="1" applyAlignment="1">
      <alignment horizontal="center" vertical="center" textRotation="255"/>
    </xf>
    <xf numFmtId="56" fontId="8" fillId="0" borderId="12" xfId="0" applyNumberFormat="1" applyFont="1" applyBorder="1" applyAlignment="1">
      <alignment horizontal="center" vertical="center" shrinkToFit="1"/>
    </xf>
    <xf numFmtId="0" fontId="8" fillId="0" borderId="12" xfId="0" applyFont="1" applyBorder="1" applyAlignment="1">
      <alignment horizontal="center" vertical="center" shrinkToFit="1"/>
    </xf>
    <xf numFmtId="0" fontId="21" fillId="0" borderId="0" xfId="0" applyFont="1" applyBorder="1" applyAlignment="1">
      <alignment horizontal="center" vertical="center"/>
    </xf>
    <xf numFmtId="0" fontId="52" fillId="0" borderId="61" xfId="0" applyFont="1" applyBorder="1" applyAlignment="1">
      <alignment horizontal="center" vertical="center"/>
    </xf>
    <xf numFmtId="0" fontId="52" fillId="0" borderId="98" xfId="0" applyFont="1" applyBorder="1" applyAlignment="1">
      <alignment horizontal="center" vertical="center"/>
    </xf>
    <xf numFmtId="0" fontId="15" fillId="0" borderId="0" xfId="0" applyFont="1" applyAlignment="1">
      <alignment horizontal="center"/>
    </xf>
    <xf numFmtId="0" fontId="5" fillId="0" borderId="0" xfId="0" applyFont="1" applyAlignment="1">
      <alignment horizontal="center"/>
    </xf>
    <xf numFmtId="0" fontId="18" fillId="0" borderId="93" xfId="0" applyFont="1" applyBorder="1" applyAlignment="1">
      <alignment horizontal="center" vertical="center"/>
    </xf>
    <xf numFmtId="14" fontId="8" fillId="0" borderId="0" xfId="0" applyNumberFormat="1" applyFont="1" applyBorder="1" applyAlignment="1">
      <alignment horizontal="center" vertical="center" shrinkToFit="1"/>
    </xf>
    <xf numFmtId="0" fontId="8" fillId="0" borderId="0" xfId="0" applyFont="1" applyBorder="1" applyAlignment="1">
      <alignment horizontal="center" vertical="center" shrinkToFit="1"/>
    </xf>
    <xf numFmtId="0" fontId="8" fillId="0" borderId="0" xfId="0" applyFont="1" applyAlignment="1">
      <alignment horizontal="center" shrinkToFit="1"/>
    </xf>
  </cellXfs>
  <cellStyles count="46">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1"/>
    <cellStyle name="標準 3" xfId="42"/>
    <cellStyle name="標準 4" xfId="43"/>
    <cellStyle name="未定義" xfId="44"/>
    <cellStyle name="良い 2"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0</xdr:colOff>
      <xdr:row>8</xdr:row>
      <xdr:rowOff>0</xdr:rowOff>
    </xdr:from>
    <xdr:ext cx="184731" cy="593304"/>
    <xdr:sp macro="" textlink="">
      <xdr:nvSpPr>
        <xdr:cNvPr id="3" name="テキスト ボックス 2">
          <a:extLst>
            <a:ext uri="{FF2B5EF4-FFF2-40B4-BE49-F238E27FC236}">
              <a16:creationId xmlns:a16="http://schemas.microsoft.com/office/drawing/2014/main" xmlns="" id="{00000000-0008-0000-0200-000003000000}"/>
            </a:ext>
          </a:extLst>
        </xdr:cNvPr>
        <xdr:cNvSpPr txBox="1"/>
      </xdr:nvSpPr>
      <xdr:spPr>
        <a:xfrm>
          <a:off x="1053353" y="1490382"/>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3200"/>
        </a:p>
      </xdr:txBody>
    </xdr:sp>
    <xdr:clientData/>
  </xdr:oneCellAnchor>
  <xdr:oneCellAnchor>
    <xdr:from>
      <xdr:col>2</xdr:col>
      <xdr:colOff>493059</xdr:colOff>
      <xdr:row>8</xdr:row>
      <xdr:rowOff>89647</xdr:rowOff>
    </xdr:from>
    <xdr:ext cx="1467068" cy="425822"/>
    <xdr:sp macro="" textlink="">
      <xdr:nvSpPr>
        <xdr:cNvPr id="4" name="テキスト ボックス 3">
          <a:extLst>
            <a:ext uri="{FF2B5EF4-FFF2-40B4-BE49-F238E27FC236}">
              <a16:creationId xmlns:a16="http://schemas.microsoft.com/office/drawing/2014/main" xmlns="" id="{00000000-0008-0000-0200-000004000000}"/>
            </a:ext>
          </a:extLst>
        </xdr:cNvPr>
        <xdr:cNvSpPr txBox="1"/>
      </xdr:nvSpPr>
      <xdr:spPr>
        <a:xfrm>
          <a:off x="1008530" y="1580029"/>
          <a:ext cx="1467068"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latin typeface="HGSｺﾞｼｯｸM" panose="020B0600000000000000" pitchFamily="50" charset="-128"/>
              <a:ea typeface="HGSｺﾞｼｯｸM" panose="020B0600000000000000" pitchFamily="50" charset="-128"/>
            </a:rPr>
            <a:t>レース中止</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a16="http://schemas.microsoft.com/office/drawing/2014/main" xmlns="" id="{00000000-0008-0000-07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14</xdr:col>
      <xdr:colOff>0</xdr:colOff>
      <xdr:row>11</xdr:row>
      <xdr:rowOff>0</xdr:rowOff>
    </xdr:from>
    <xdr:to>
      <xdr:col>14</xdr:col>
      <xdr:colOff>0</xdr:colOff>
      <xdr:row>12</xdr:row>
      <xdr:rowOff>0</xdr:rowOff>
    </xdr:to>
    <xdr:sp macro="" textlink="">
      <xdr:nvSpPr>
        <xdr:cNvPr id="3" name="テキスト 204">
          <a:extLst>
            <a:ext uri="{FF2B5EF4-FFF2-40B4-BE49-F238E27FC236}">
              <a16:creationId xmlns:a16="http://schemas.microsoft.com/office/drawing/2014/main" xmlns="" id="{00000000-0008-0000-07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15</xdr:row>
      <xdr:rowOff>0</xdr:rowOff>
    </xdr:from>
    <xdr:to>
      <xdr:col>14</xdr:col>
      <xdr:colOff>0</xdr:colOff>
      <xdr:row>16</xdr:row>
      <xdr:rowOff>0</xdr:rowOff>
    </xdr:to>
    <xdr:sp macro="" textlink="">
      <xdr:nvSpPr>
        <xdr:cNvPr id="4" name="テキスト 204">
          <a:extLst>
            <a:ext uri="{FF2B5EF4-FFF2-40B4-BE49-F238E27FC236}">
              <a16:creationId xmlns:a16="http://schemas.microsoft.com/office/drawing/2014/main" xmlns="" id="{00000000-0008-0000-07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22</xdr:row>
      <xdr:rowOff>6350</xdr:rowOff>
    </xdr:from>
    <xdr:to>
      <xdr:col>14</xdr:col>
      <xdr:colOff>0</xdr:colOff>
      <xdr:row>23</xdr:row>
      <xdr:rowOff>3113</xdr:rowOff>
    </xdr:to>
    <xdr:sp macro="" textlink="">
      <xdr:nvSpPr>
        <xdr:cNvPr id="7" name="テキスト 204">
          <a:extLst>
            <a:ext uri="{FF2B5EF4-FFF2-40B4-BE49-F238E27FC236}">
              <a16:creationId xmlns:a16="http://schemas.microsoft.com/office/drawing/2014/main" xmlns="" id="{00000000-0008-0000-07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26</xdr:col>
      <xdr:colOff>269875</xdr:colOff>
      <xdr:row>40</xdr:row>
      <xdr:rowOff>41275</xdr:rowOff>
    </xdr:from>
    <xdr:to>
      <xdr:col>26</xdr:col>
      <xdr:colOff>851782</xdr:colOff>
      <xdr:row>41</xdr:row>
      <xdr:rowOff>130507</xdr:rowOff>
    </xdr:to>
    <xdr:sp macro="" textlink="">
      <xdr:nvSpPr>
        <xdr:cNvPr id="16" name="Text Box 1">
          <a:extLst>
            <a:ext uri="{FF2B5EF4-FFF2-40B4-BE49-F238E27FC236}">
              <a16:creationId xmlns:a16="http://schemas.microsoft.com/office/drawing/2014/main" xmlns="" id="{00000000-0008-0000-0700-000010000000}"/>
            </a:ext>
          </a:extLst>
        </xdr:cNvPr>
        <xdr:cNvSpPr txBox="1">
          <a:spLocks noChangeArrowheads="1"/>
        </xdr:cNvSpPr>
      </xdr:nvSpPr>
      <xdr:spPr bwMode="auto">
        <a:xfrm>
          <a:off x="1381125" y="6838950"/>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5</xdr:col>
      <xdr:colOff>0</xdr:colOff>
      <xdr:row>39</xdr:row>
      <xdr:rowOff>0</xdr:rowOff>
    </xdr:from>
    <xdr:to>
      <xdr:col>5</xdr:col>
      <xdr:colOff>145701</xdr:colOff>
      <xdr:row>39</xdr:row>
      <xdr:rowOff>172509</xdr:rowOff>
    </xdr:to>
    <xdr:sp macro="" textlink="">
      <xdr:nvSpPr>
        <xdr:cNvPr id="23" name="テキスト 204">
          <a:extLst>
            <a:ext uri="{FF2B5EF4-FFF2-40B4-BE49-F238E27FC236}">
              <a16:creationId xmlns:a16="http://schemas.microsoft.com/office/drawing/2014/main" xmlns="" id="{00000000-0008-0000-0700-000017000000}"/>
            </a:ext>
          </a:extLst>
        </xdr:cNvPr>
        <xdr:cNvSpPr txBox="1">
          <a:spLocks noChangeArrowheads="1"/>
        </xdr:cNvSpPr>
      </xdr:nvSpPr>
      <xdr:spPr bwMode="auto">
        <a:xfrm>
          <a:off x="2943225" y="6610350"/>
          <a:ext cx="152400"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0</xdr:colOff>
      <xdr:row>39</xdr:row>
      <xdr:rowOff>0</xdr:rowOff>
    </xdr:from>
    <xdr:to>
      <xdr:col>6</xdr:col>
      <xdr:colOff>145701</xdr:colOff>
      <xdr:row>39</xdr:row>
      <xdr:rowOff>171450</xdr:rowOff>
    </xdr:to>
    <xdr:sp macro="" textlink="">
      <xdr:nvSpPr>
        <xdr:cNvPr id="24" name="テキスト 204">
          <a:extLst>
            <a:ext uri="{FF2B5EF4-FFF2-40B4-BE49-F238E27FC236}">
              <a16:creationId xmlns:a16="http://schemas.microsoft.com/office/drawing/2014/main" xmlns="" id="{00000000-0008-0000-0700-000018000000}"/>
            </a:ext>
          </a:extLst>
        </xdr:cNvPr>
        <xdr:cNvSpPr txBox="1">
          <a:spLocks noChangeArrowheads="1"/>
        </xdr:cNvSpPr>
      </xdr:nvSpPr>
      <xdr:spPr bwMode="auto">
        <a:xfrm>
          <a:off x="3543300" y="6610350"/>
          <a:ext cx="1524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B</a:t>
          </a:r>
        </a:p>
      </xdr:txBody>
    </xdr:sp>
    <xdr:clientData/>
  </xdr:twoCellAnchor>
  <xdr:twoCellAnchor>
    <xdr:from>
      <xdr:col>5</xdr:col>
      <xdr:colOff>0</xdr:colOff>
      <xdr:row>10</xdr:row>
      <xdr:rowOff>0</xdr:rowOff>
    </xdr:from>
    <xdr:to>
      <xdr:col>5</xdr:col>
      <xdr:colOff>145701</xdr:colOff>
      <xdr:row>10</xdr:row>
      <xdr:rowOff>172509</xdr:rowOff>
    </xdr:to>
    <xdr:sp macro="" textlink="">
      <xdr:nvSpPr>
        <xdr:cNvPr id="10" name="テキスト 204">
          <a:extLst>
            <a:ext uri="{FF2B5EF4-FFF2-40B4-BE49-F238E27FC236}">
              <a16:creationId xmlns:a16="http://schemas.microsoft.com/office/drawing/2014/main" xmlns="" id="{00000000-0008-0000-0700-00000A000000}"/>
            </a:ext>
          </a:extLst>
        </xdr:cNvPr>
        <xdr:cNvSpPr txBox="1">
          <a:spLocks noChangeArrowheads="1"/>
        </xdr:cNvSpPr>
      </xdr:nvSpPr>
      <xdr:spPr bwMode="auto">
        <a:xfrm>
          <a:off x="2943225" y="2781300"/>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4</xdr:col>
      <xdr:colOff>0</xdr:colOff>
      <xdr:row>13</xdr:row>
      <xdr:rowOff>0</xdr:rowOff>
    </xdr:from>
    <xdr:to>
      <xdr:col>4</xdr:col>
      <xdr:colOff>145701</xdr:colOff>
      <xdr:row>13</xdr:row>
      <xdr:rowOff>172509</xdr:rowOff>
    </xdr:to>
    <xdr:sp macro="" textlink="">
      <xdr:nvSpPr>
        <xdr:cNvPr id="11" name="テキスト 204">
          <a:extLst>
            <a:ext uri="{FF2B5EF4-FFF2-40B4-BE49-F238E27FC236}">
              <a16:creationId xmlns:a16="http://schemas.microsoft.com/office/drawing/2014/main" xmlns="" id="{00000000-0008-0000-0700-00000B000000}"/>
            </a:ext>
          </a:extLst>
        </xdr:cNvPr>
        <xdr:cNvSpPr txBox="1">
          <a:spLocks noChangeArrowheads="1"/>
        </xdr:cNvSpPr>
      </xdr:nvSpPr>
      <xdr:spPr bwMode="auto">
        <a:xfrm>
          <a:off x="2343150" y="2419350"/>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oneCellAnchor>
    <xdr:from>
      <xdr:col>13</xdr:col>
      <xdr:colOff>127251</xdr:colOff>
      <xdr:row>9</xdr:row>
      <xdr:rowOff>76200</xdr:rowOff>
    </xdr:from>
    <xdr:ext cx="368049" cy="1220591"/>
    <xdr:sp macro="" textlink="">
      <xdr:nvSpPr>
        <xdr:cNvPr id="5" name="テキスト ボックス 4">
          <a:extLst>
            <a:ext uri="{FF2B5EF4-FFF2-40B4-BE49-F238E27FC236}">
              <a16:creationId xmlns:a16="http://schemas.microsoft.com/office/drawing/2014/main" xmlns="" id="{00000000-0008-0000-0700-000005000000}"/>
            </a:ext>
          </a:extLst>
        </xdr:cNvPr>
        <xdr:cNvSpPr txBox="1"/>
      </xdr:nvSpPr>
      <xdr:spPr>
        <a:xfrm>
          <a:off x="7134930" y="2144486"/>
          <a:ext cx="368049" cy="12205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latin typeface="HGSｺﾞｼｯｸM" panose="020B0600000000000000" pitchFamily="50" charset="-128"/>
              <a:ea typeface="HGSｺﾞｼｯｸM" panose="020B0600000000000000" pitchFamily="50" charset="-128"/>
            </a:rPr>
            <a:t>熱海レース中止</a:t>
          </a:r>
        </a:p>
      </xdr:txBody>
    </xdr:sp>
    <xdr:clientData/>
  </xdr:oneCellAnchor>
  <xdr:twoCellAnchor>
    <xdr:from>
      <xdr:col>6</xdr:col>
      <xdr:colOff>0</xdr:colOff>
      <xdr:row>17</xdr:row>
      <xdr:rowOff>0</xdr:rowOff>
    </xdr:from>
    <xdr:to>
      <xdr:col>6</xdr:col>
      <xdr:colOff>145701</xdr:colOff>
      <xdr:row>17</xdr:row>
      <xdr:rowOff>172509</xdr:rowOff>
    </xdr:to>
    <xdr:sp macro="" textlink="">
      <xdr:nvSpPr>
        <xdr:cNvPr id="13" name="テキスト 204">
          <a:extLst>
            <a:ext uri="{FF2B5EF4-FFF2-40B4-BE49-F238E27FC236}">
              <a16:creationId xmlns:a16="http://schemas.microsoft.com/office/drawing/2014/main" xmlns="" id="{00000000-0008-0000-0700-00000D000000}"/>
            </a:ext>
          </a:extLst>
        </xdr:cNvPr>
        <xdr:cNvSpPr txBox="1">
          <a:spLocks noChangeArrowheads="1"/>
        </xdr:cNvSpPr>
      </xdr:nvSpPr>
      <xdr:spPr bwMode="auto">
        <a:xfrm>
          <a:off x="3543300" y="3686175"/>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0</xdr:colOff>
      <xdr:row>27</xdr:row>
      <xdr:rowOff>0</xdr:rowOff>
    </xdr:from>
    <xdr:to>
      <xdr:col>6</xdr:col>
      <xdr:colOff>145701</xdr:colOff>
      <xdr:row>27</xdr:row>
      <xdr:rowOff>172509</xdr:rowOff>
    </xdr:to>
    <xdr:sp macro="" textlink="">
      <xdr:nvSpPr>
        <xdr:cNvPr id="14" name="テキスト 204">
          <a:extLst>
            <a:ext uri="{FF2B5EF4-FFF2-40B4-BE49-F238E27FC236}">
              <a16:creationId xmlns:a16="http://schemas.microsoft.com/office/drawing/2014/main" xmlns="" id="{00000000-0008-0000-0700-00000E000000}"/>
            </a:ext>
          </a:extLst>
        </xdr:cNvPr>
        <xdr:cNvSpPr txBox="1">
          <a:spLocks noChangeArrowheads="1"/>
        </xdr:cNvSpPr>
      </xdr:nvSpPr>
      <xdr:spPr bwMode="auto">
        <a:xfrm>
          <a:off x="3543300" y="4410075"/>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B</a:t>
          </a:r>
        </a:p>
      </xdr:txBody>
    </xdr:sp>
    <xdr:clientData/>
  </xdr:twoCellAnchor>
  <xdr:twoCellAnchor>
    <xdr:from>
      <xdr:col>7</xdr:col>
      <xdr:colOff>0</xdr:colOff>
      <xdr:row>15</xdr:row>
      <xdr:rowOff>0</xdr:rowOff>
    </xdr:from>
    <xdr:to>
      <xdr:col>7</xdr:col>
      <xdr:colOff>145701</xdr:colOff>
      <xdr:row>15</xdr:row>
      <xdr:rowOff>172509</xdr:rowOff>
    </xdr:to>
    <xdr:sp macro="" textlink="">
      <xdr:nvSpPr>
        <xdr:cNvPr id="15" name="テキスト 204">
          <a:extLst>
            <a:ext uri="{FF2B5EF4-FFF2-40B4-BE49-F238E27FC236}">
              <a16:creationId xmlns:a16="http://schemas.microsoft.com/office/drawing/2014/main" xmlns="" id="{182440B5-F806-4813-B162-78072AB961A4}"/>
            </a:ext>
          </a:extLst>
        </xdr:cNvPr>
        <xdr:cNvSpPr txBox="1">
          <a:spLocks noChangeArrowheads="1"/>
        </xdr:cNvSpPr>
      </xdr:nvSpPr>
      <xdr:spPr bwMode="auto">
        <a:xfrm>
          <a:off x="4143375" y="3143250"/>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8</xdr:col>
      <xdr:colOff>0</xdr:colOff>
      <xdr:row>11</xdr:row>
      <xdr:rowOff>0</xdr:rowOff>
    </xdr:from>
    <xdr:to>
      <xdr:col>8</xdr:col>
      <xdr:colOff>145701</xdr:colOff>
      <xdr:row>11</xdr:row>
      <xdr:rowOff>172509</xdr:rowOff>
    </xdr:to>
    <xdr:sp macro="" textlink="">
      <xdr:nvSpPr>
        <xdr:cNvPr id="17" name="テキスト 204">
          <a:extLst>
            <a:ext uri="{FF2B5EF4-FFF2-40B4-BE49-F238E27FC236}">
              <a16:creationId xmlns:a16="http://schemas.microsoft.com/office/drawing/2014/main" xmlns="" id="{E28CDE56-70CE-4893-BA05-0DA4EACC9D54}"/>
            </a:ext>
          </a:extLst>
        </xdr:cNvPr>
        <xdr:cNvSpPr txBox="1">
          <a:spLocks noChangeArrowheads="1"/>
        </xdr:cNvSpPr>
      </xdr:nvSpPr>
      <xdr:spPr bwMode="auto">
        <a:xfrm>
          <a:off x="4743450" y="2962275"/>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9</xdr:col>
      <xdr:colOff>0</xdr:colOff>
      <xdr:row>26</xdr:row>
      <xdr:rowOff>0</xdr:rowOff>
    </xdr:from>
    <xdr:to>
      <xdr:col>9</xdr:col>
      <xdr:colOff>145701</xdr:colOff>
      <xdr:row>26</xdr:row>
      <xdr:rowOff>172509</xdr:rowOff>
    </xdr:to>
    <xdr:sp macro="" textlink="">
      <xdr:nvSpPr>
        <xdr:cNvPr id="18" name="テキスト 204">
          <a:extLst>
            <a:ext uri="{FF2B5EF4-FFF2-40B4-BE49-F238E27FC236}">
              <a16:creationId xmlns:a16="http://schemas.microsoft.com/office/drawing/2014/main" xmlns="" id="{2C10CA8B-F351-47E1-AF8F-FA8CCDCF1E83}"/>
            </a:ext>
          </a:extLst>
        </xdr:cNvPr>
        <xdr:cNvSpPr txBox="1">
          <a:spLocks noChangeArrowheads="1"/>
        </xdr:cNvSpPr>
      </xdr:nvSpPr>
      <xdr:spPr bwMode="auto">
        <a:xfrm>
          <a:off x="5343525" y="5133975"/>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a16="http://schemas.microsoft.com/office/drawing/2014/main" xmlns="" id="{00000000-0008-0000-08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a16="http://schemas.microsoft.com/office/drawing/2014/main" xmlns="" id="{00000000-0008-0000-08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a16="http://schemas.microsoft.com/office/drawing/2014/main" xmlns="" id="{00000000-0008-0000-08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a16="http://schemas.microsoft.com/office/drawing/2014/main" xmlns="" id="{00000000-0008-0000-08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a16="http://schemas.microsoft.com/office/drawing/2014/main" xmlns="" id="{00000000-0008-0000-08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a16="http://schemas.microsoft.com/office/drawing/2014/main" xmlns="" id="{00000000-0008-0000-08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a16="http://schemas.microsoft.com/office/drawing/2014/main" xmlns="" id="{00000000-0008-0000-08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a16="http://schemas.microsoft.com/office/drawing/2014/main" xmlns="" id="{00000000-0008-0000-08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a16="http://schemas.microsoft.com/office/drawing/2014/main" xmlns="" id="{00000000-0008-0000-08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a16="http://schemas.microsoft.com/office/drawing/2014/main" xmlns="" id="{00000000-0008-0000-08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a16="http://schemas.microsoft.com/office/drawing/2014/main" xmlns="" id="{00000000-0008-0000-08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a16="http://schemas.microsoft.com/office/drawing/2014/main" xmlns="" id="{00000000-0008-0000-08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a16="http://schemas.microsoft.com/office/drawing/2014/main" xmlns="" id="{00000000-0008-0000-08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a16="http://schemas.microsoft.com/office/drawing/2014/main" xmlns="" id="{00000000-0008-0000-08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a16="http://schemas.microsoft.com/office/drawing/2014/main" xmlns="" id="{00000000-0008-0000-08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a16="http://schemas.microsoft.com/office/drawing/2014/main" xmlns="" id="{00000000-0008-0000-08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a16="http://schemas.microsoft.com/office/drawing/2014/main" xmlns="" id="{00000000-0008-0000-08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a16="http://schemas.microsoft.com/office/drawing/2014/main" xmlns="" id="{00000000-0008-0000-08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a16="http://schemas.microsoft.com/office/drawing/2014/main" xmlns="" id="{00000000-0008-0000-08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a16="http://schemas.microsoft.com/office/drawing/2014/main" xmlns="" id="{00000000-0008-0000-08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a16="http://schemas.microsoft.com/office/drawing/2014/main" xmlns="" id="{00000000-0008-0000-08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a16="http://schemas.microsoft.com/office/drawing/2014/main" xmlns="" id="{00000000-0008-0000-08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a16="http://schemas.microsoft.com/office/drawing/2014/main" xmlns="" id="{00000000-0008-0000-08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a16="http://schemas.microsoft.com/office/drawing/2014/main" xmlns="" id="{00000000-0008-0000-08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a16="http://schemas.microsoft.com/office/drawing/2014/main" xmlns="" id="{00000000-0008-0000-08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a16="http://schemas.microsoft.com/office/drawing/2014/main" xmlns="" id="{00000000-0008-0000-08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a16="http://schemas.microsoft.com/office/drawing/2014/main" xmlns="" id="{00000000-0008-0000-08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a16="http://schemas.microsoft.com/office/drawing/2014/main" xmlns="" id="{00000000-0008-0000-08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a16="http://schemas.microsoft.com/office/drawing/2014/main" xmlns="" id="{00000000-0008-0000-08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a16="http://schemas.microsoft.com/office/drawing/2014/main" xmlns="" id="{00000000-0008-0000-08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a16="http://schemas.microsoft.com/office/drawing/2014/main" xmlns="" id="{00000000-0008-0000-08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a16="http://schemas.microsoft.com/office/drawing/2014/main" xmlns="" id="{00000000-0008-0000-08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zoomScale="85" zoomScaleNormal="85" workbookViewId="0">
      <selection activeCell="E15" sqref="E15"/>
    </sheetView>
  </sheetViews>
  <sheetFormatPr defaultRowHeight="13.5"/>
  <cols>
    <col min="1" max="1" width="1.75" style="301" customWidth="1"/>
    <col min="2" max="2" width="5" style="301" customWidth="1"/>
    <col min="3" max="3" width="7" style="301" customWidth="1"/>
    <col min="4" max="4" width="18" style="301" customWidth="1"/>
    <col min="5" max="5" width="8" style="301" customWidth="1"/>
    <col min="6" max="6" width="5" style="301" customWidth="1"/>
    <col min="7" max="7" width="10.875" style="301" customWidth="1"/>
    <col min="8" max="8" width="8.375" style="301" customWidth="1"/>
    <col min="9" max="9" width="8.75" style="301" customWidth="1"/>
    <col min="10" max="10" width="5" style="301" customWidth="1"/>
    <col min="11" max="11" width="8.5" style="301" customWidth="1"/>
    <col min="12" max="12" width="10.875" style="301" customWidth="1"/>
    <col min="13" max="13" width="9.5" style="301" customWidth="1"/>
    <col min="14" max="14" width="7.875" style="301" customWidth="1"/>
    <col min="15" max="15" width="8" style="301" customWidth="1"/>
    <col min="16" max="16" width="11.25" style="301" customWidth="1"/>
    <col min="17" max="17" width="12.25" style="301" customWidth="1"/>
    <col min="18" max="18" width="4.875" style="301" customWidth="1"/>
    <col min="19" max="21" width="7.625" style="301" customWidth="1"/>
    <col min="22" max="24" width="8.75" style="301" customWidth="1"/>
    <col min="25" max="25" width="4.5" style="301" customWidth="1"/>
    <col min="26" max="28" width="8" style="301" customWidth="1"/>
    <col min="29" max="16384" width="9" style="301"/>
  </cols>
  <sheetData>
    <row r="1" spans="1:28" ht="9.75" customHeight="1" thickBot="1">
      <c r="A1" s="204"/>
      <c r="B1" s="204"/>
      <c r="C1" s="204"/>
      <c r="D1" s="204"/>
      <c r="E1" s="204"/>
      <c r="F1" s="204"/>
      <c r="G1" s="204"/>
      <c r="H1" s="204"/>
      <c r="I1" s="204"/>
      <c r="J1" s="204"/>
      <c r="K1" s="204"/>
      <c r="L1" s="204"/>
      <c r="M1" s="204"/>
      <c r="N1" s="204"/>
      <c r="O1" s="204"/>
      <c r="P1" s="204"/>
      <c r="Q1" s="204"/>
      <c r="R1" s="204"/>
    </row>
    <row r="2" spans="1:28" ht="21">
      <c r="A2" s="204"/>
      <c r="B2" s="193"/>
      <c r="C2" s="194"/>
      <c r="D2" s="606" t="str">
        <f>参照ﾃﾞｰﾀ!P4</f>
        <v>2018年</v>
      </c>
      <c r="E2" s="606"/>
      <c r="F2" s="606"/>
      <c r="G2" s="195" t="s">
        <v>199</v>
      </c>
      <c r="H2" s="196"/>
      <c r="I2" s="197"/>
      <c r="J2" s="193"/>
      <c r="K2" s="198"/>
      <c r="L2" s="193"/>
      <c r="M2" s="199" t="s">
        <v>53</v>
      </c>
      <c r="N2" s="360" t="s">
        <v>150</v>
      </c>
      <c r="O2" s="201" t="s">
        <v>55</v>
      </c>
      <c r="P2" s="202">
        <v>43296</v>
      </c>
      <c r="Q2" s="203">
        <v>0.4513888888888889</v>
      </c>
      <c r="R2" s="193"/>
      <c r="S2" s="303" t="s">
        <v>2</v>
      </c>
      <c r="T2" s="302"/>
      <c r="U2" s="302"/>
      <c r="W2" s="302"/>
      <c r="X2" s="302"/>
      <c r="Y2" s="302"/>
    </row>
    <row r="3" spans="1:28" ht="21.75" customHeight="1" thickBot="1">
      <c r="A3" s="204"/>
      <c r="B3" s="193"/>
      <c r="C3" s="204"/>
      <c r="D3" s="359" t="s">
        <v>236</v>
      </c>
      <c r="E3" s="607" t="s">
        <v>65</v>
      </c>
      <c r="F3" s="607"/>
      <c r="G3" s="607"/>
      <c r="H3" s="607"/>
      <c r="I3" s="607"/>
      <c r="J3" s="589" t="s">
        <v>88</v>
      </c>
      <c r="K3" s="589"/>
      <c r="L3" s="206"/>
      <c r="M3" s="207" t="s">
        <v>77</v>
      </c>
      <c r="N3" s="208">
        <f>IF(ISBLANK(N2),"",VLOOKUP(N2,コース・距離,2,FALSE))</f>
        <v>10</v>
      </c>
      <c r="O3" s="209" t="s">
        <v>0</v>
      </c>
      <c r="P3" s="210">
        <v>16</v>
      </c>
      <c r="Q3" s="211" t="s">
        <v>1</v>
      </c>
      <c r="R3" s="193"/>
      <c r="S3" s="302" t="s">
        <v>265</v>
      </c>
      <c r="T3" s="302"/>
      <c r="U3" s="302"/>
      <c r="V3" s="301" t="s">
        <v>264</v>
      </c>
      <c r="W3" s="304"/>
      <c r="X3" s="304"/>
      <c r="Y3" s="302"/>
      <c r="Z3" s="305" t="s">
        <v>78</v>
      </c>
    </row>
    <row r="4" spans="1:28" ht="7.5" customHeight="1" thickBot="1">
      <c r="A4" s="204"/>
      <c r="B4" s="193"/>
      <c r="C4" s="193"/>
      <c r="D4" s="193"/>
      <c r="E4" s="193"/>
      <c r="F4" s="193"/>
      <c r="G4" s="193"/>
      <c r="H4" s="193"/>
      <c r="I4" s="193"/>
      <c r="J4" s="193"/>
      <c r="K4" s="193"/>
      <c r="L4" s="193"/>
      <c r="M4" s="193"/>
      <c r="N4" s="193"/>
      <c r="O4" s="193"/>
      <c r="P4" s="193"/>
      <c r="Q4" s="193"/>
      <c r="R4" s="193"/>
      <c r="S4" s="302"/>
      <c r="T4" s="302"/>
      <c r="U4" s="302"/>
      <c r="V4" s="306"/>
      <c r="W4" s="304"/>
      <c r="X4" s="304"/>
      <c r="Y4" s="302"/>
    </row>
    <row r="5" spans="1:28" ht="14.25">
      <c r="A5" s="204"/>
      <c r="B5" s="212" t="s">
        <v>3</v>
      </c>
      <c r="C5" s="213" t="s">
        <v>4</v>
      </c>
      <c r="D5" s="213" t="s">
        <v>5</v>
      </c>
      <c r="E5" s="213" t="s">
        <v>6</v>
      </c>
      <c r="F5" s="213" t="s">
        <v>7</v>
      </c>
      <c r="G5" s="213" t="s">
        <v>8</v>
      </c>
      <c r="H5" s="213" t="s">
        <v>9</v>
      </c>
      <c r="I5" s="213" t="s">
        <v>10</v>
      </c>
      <c r="J5" s="213" t="s">
        <v>11</v>
      </c>
      <c r="K5" s="213" t="s">
        <v>12</v>
      </c>
      <c r="L5" s="214" t="s">
        <v>364</v>
      </c>
      <c r="M5" s="214" t="s">
        <v>365</v>
      </c>
      <c r="N5" s="213" t="s">
        <v>73</v>
      </c>
      <c r="O5" s="213" t="s">
        <v>13</v>
      </c>
      <c r="P5" s="590" t="s">
        <v>72</v>
      </c>
      <c r="Q5" s="591"/>
      <c r="R5" s="293"/>
      <c r="S5" s="309" t="s">
        <v>10</v>
      </c>
      <c r="T5" s="307" t="s">
        <v>10</v>
      </c>
      <c r="U5" s="310" t="s">
        <v>10</v>
      </c>
      <c r="V5" s="309" t="s">
        <v>10</v>
      </c>
      <c r="W5" s="307" t="s">
        <v>10</v>
      </c>
      <c r="X5" s="310" t="s">
        <v>10</v>
      </c>
      <c r="Y5" s="308"/>
      <c r="Z5" s="309" t="s">
        <v>13</v>
      </c>
      <c r="AA5" s="307" t="s">
        <v>13</v>
      </c>
      <c r="AB5" s="310" t="s">
        <v>13</v>
      </c>
    </row>
    <row r="6" spans="1:28" ht="14.25">
      <c r="A6" s="204"/>
      <c r="B6" s="215"/>
      <c r="C6" s="216" t="s">
        <v>14</v>
      </c>
      <c r="D6" s="217"/>
      <c r="E6" s="218" t="s">
        <v>15</v>
      </c>
      <c r="F6" s="218"/>
      <c r="G6" s="216" t="s">
        <v>16</v>
      </c>
      <c r="H6" s="218" t="s">
        <v>17</v>
      </c>
      <c r="I6" s="216" t="s">
        <v>261</v>
      </c>
      <c r="J6" s="218" t="s">
        <v>18</v>
      </c>
      <c r="K6" s="218" t="s">
        <v>17</v>
      </c>
      <c r="L6" s="216" t="s">
        <v>16</v>
      </c>
      <c r="M6" s="218" t="s">
        <v>47</v>
      </c>
      <c r="N6" s="218" t="s">
        <v>19</v>
      </c>
      <c r="O6" s="219" t="str">
        <f>IF(ISBLANK(N2),"",VLOOKUP(N2,コース・距離,3,FALSE))</f>
        <v>MAX=20</v>
      </c>
      <c r="P6" s="220"/>
      <c r="Q6" s="221"/>
      <c r="R6" s="294"/>
      <c r="S6" s="313" t="s">
        <v>20</v>
      </c>
      <c r="T6" s="311" t="s">
        <v>22</v>
      </c>
      <c r="U6" s="314" t="s">
        <v>21</v>
      </c>
      <c r="V6" s="313" t="s">
        <v>20</v>
      </c>
      <c r="W6" s="311" t="s">
        <v>22</v>
      </c>
      <c r="X6" s="314" t="s">
        <v>21</v>
      </c>
      <c r="Y6" s="312"/>
      <c r="Z6" s="313" t="s">
        <v>80</v>
      </c>
      <c r="AA6" s="311" t="s">
        <v>81</v>
      </c>
      <c r="AB6" s="314" t="s">
        <v>82</v>
      </c>
    </row>
    <row r="7" spans="1:28" ht="14.25">
      <c r="A7" s="204"/>
      <c r="B7" s="222">
        <v>1</v>
      </c>
      <c r="C7" s="223">
        <v>150</v>
      </c>
      <c r="D7" s="224" t="str">
        <f t="shared" ref="D7:D22" si="0">IF(ISBLANK(C7),"",VLOOKUP(C7,各艇データ,2,FALSE))</f>
        <v>SHARK X</v>
      </c>
      <c r="E7" s="353">
        <f t="shared" ref="E7:E22" si="1">IF($I$6="Ⅰ",S7,IF($I$6="Ⅱ",T7,IF($I$6="Ⅲ",U7,"")))</f>
        <v>8.56</v>
      </c>
      <c r="F7" s="226">
        <v>2</v>
      </c>
      <c r="G7" s="227">
        <v>0.52993055555555557</v>
      </c>
      <c r="H7" s="223">
        <f t="shared" ref="H7:H22" si="2">IFERROR(IF(G7-$Q$2&lt;=0,"",(G7-$Q$2)*86400),"")</f>
        <v>6786.0000000000009</v>
      </c>
      <c r="I7" s="228">
        <f t="shared" ref="I7:I22" si="3">IF($I$6="Ⅰ",V7,IF($I$6="Ⅱ",W7,IF($I$6="Ⅲ",X7,"")))</f>
        <v>591.79999999999995</v>
      </c>
      <c r="J7" s="225"/>
      <c r="K7" s="229">
        <f t="shared" ref="K7:K22" si="4">IFERROR(H7*(1+0.01*J7)-I7*$N$3,"")</f>
        <v>868.00000000000091</v>
      </c>
      <c r="L7" s="227">
        <f t="shared" ref="L7:L22" si="5">IFERROR((K7-$K$7)/86400,"")</f>
        <v>0</v>
      </c>
      <c r="M7" s="230">
        <f t="shared" ref="M7:M22" si="6">IFERROR((K7-$K$7)/$N$3,"")</f>
        <v>0</v>
      </c>
      <c r="N7" s="231">
        <f t="shared" ref="N7:N22" si="7">IFERROR($N$3/(H7/3600),"")</f>
        <v>5.3050397877984077</v>
      </c>
      <c r="O7" s="232">
        <f t="shared" ref="O7:O22" si="8">ROUND(IF($O$6="MAX=20",Z7,IF($O$6="MAX=30",AA7,IF($O$6="MAX=40",AB7,""))),1)</f>
        <v>20</v>
      </c>
      <c r="P7" s="233"/>
      <c r="Q7" s="234"/>
      <c r="R7" s="293"/>
      <c r="S7" s="316">
        <f t="shared" ref="S7:S31" si="9">IF(ISBLANK(C7),"",VLOOKUP(C7,各艇データ,3,FALSE))</f>
        <v>9.06</v>
      </c>
      <c r="T7" s="317">
        <f t="shared" ref="T7:T31" si="10">IF(ISBLANK(C7),"",VLOOKUP(C7,各艇データ,4,FALSE))</f>
        <v>8.56</v>
      </c>
      <c r="U7" s="318">
        <f t="shared" ref="U7:U31" si="11">IF(ISBLANK(C7),"",VLOOKUP(C7,各艇データ,5,FALSE))</f>
        <v>8.43</v>
      </c>
      <c r="V7" s="319">
        <f t="shared" ref="V7:V31" si="12">IF(ISBLANK(C7),"",VLOOKUP(C7,各艇データ,6,FALSE))</f>
        <v>936.4</v>
      </c>
      <c r="W7" s="320">
        <f t="shared" ref="W7:W31" si="13">IF(ISBLANK(C7),"",VLOOKUP(C7,各艇データ,7,FALSE))</f>
        <v>591.79999999999995</v>
      </c>
      <c r="X7" s="321">
        <f t="shared" ref="X7:X31" si="14">IF(ISBLANK(C7),"",VLOOKUP(C7,各艇データ,8,FALSE))</f>
        <v>526.20000000000005</v>
      </c>
      <c r="Y7" s="308"/>
      <c r="Z7" s="322">
        <f>IF(ISBLANK(B7),"",IFERROR(20*($P$3+1-$B7)/$P$3,"20.0"))</f>
        <v>20</v>
      </c>
      <c r="AA7" s="315">
        <f>IF(ISBLANK(B7),"",IFERROR(30*($P$3+1-$B7)/$P$3,"30.0"))</f>
        <v>30</v>
      </c>
      <c r="AB7" s="323">
        <f>IF(ISBLANK(B7),"",IFERROR(30*($P$3-$B7)/($P$3-1)+10,"20.0"))</f>
        <v>40</v>
      </c>
    </row>
    <row r="8" spans="1:28" ht="14.25">
      <c r="A8" s="204"/>
      <c r="B8" s="235">
        <v>2</v>
      </c>
      <c r="C8" s="236">
        <v>5752</v>
      </c>
      <c r="D8" s="237" t="str">
        <f t="shared" si="0"/>
        <v>アルファ</v>
      </c>
      <c r="E8" s="354">
        <f t="shared" si="1"/>
        <v>10.18</v>
      </c>
      <c r="F8" s="239">
        <v>1</v>
      </c>
      <c r="G8" s="240">
        <v>0.52850694444444446</v>
      </c>
      <c r="H8" s="236">
        <f t="shared" si="2"/>
        <v>6663.0000000000009</v>
      </c>
      <c r="I8" s="241">
        <f t="shared" si="3"/>
        <v>557</v>
      </c>
      <c r="J8" s="238"/>
      <c r="K8" s="242">
        <f t="shared" si="4"/>
        <v>1093.0000000000009</v>
      </c>
      <c r="L8" s="240">
        <f t="shared" si="5"/>
        <v>2.6041666666666665E-3</v>
      </c>
      <c r="M8" s="243">
        <f t="shared" si="6"/>
        <v>22.5</v>
      </c>
      <c r="N8" s="244">
        <f t="shared" si="7"/>
        <v>5.4029716343989191</v>
      </c>
      <c r="O8" s="245">
        <f t="shared" si="8"/>
        <v>18.8</v>
      </c>
      <c r="P8" s="246"/>
      <c r="Q8" s="247"/>
      <c r="R8" s="293"/>
      <c r="S8" s="316">
        <f t="shared" si="9"/>
        <v>10.72</v>
      </c>
      <c r="T8" s="317">
        <f t="shared" si="10"/>
        <v>10.18</v>
      </c>
      <c r="U8" s="318">
        <f t="shared" si="11"/>
        <v>9.92</v>
      </c>
      <c r="V8" s="319">
        <f t="shared" si="12"/>
        <v>884.3</v>
      </c>
      <c r="W8" s="320">
        <f t="shared" si="13"/>
        <v>557</v>
      </c>
      <c r="X8" s="321">
        <f t="shared" si="14"/>
        <v>492.1</v>
      </c>
      <c r="Y8" s="308"/>
      <c r="Z8" s="322">
        <f t="shared" ref="Z8:Z31" si="15">IF(ISBLANK(B8),"",IFERROR(20*($P$3+1-$B8)/$P$3,"20.0"))</f>
        <v>18.75</v>
      </c>
      <c r="AA8" s="315">
        <f t="shared" ref="AA8:AA31" si="16">IF(ISBLANK(B8),"",IFERROR(30*($P$3+1-$B8)/$P$3,"30.0"))</f>
        <v>28.125</v>
      </c>
      <c r="AB8" s="323">
        <f t="shared" ref="AB8:AB31" si="17">IF(ISBLANK(B8),"",IFERROR(30*($P$3-$B8)/($P$3-1)+10,"20.0"))</f>
        <v>38</v>
      </c>
    </row>
    <row r="9" spans="1:28" ht="14.25">
      <c r="A9" s="204"/>
      <c r="B9" s="235">
        <v>3</v>
      </c>
      <c r="C9" s="236">
        <v>321</v>
      </c>
      <c r="D9" s="237" t="str">
        <f t="shared" si="0"/>
        <v>かまくら</v>
      </c>
      <c r="E9" s="354">
        <f t="shared" si="1"/>
        <v>9.4499999999999993</v>
      </c>
      <c r="F9" s="239">
        <v>3</v>
      </c>
      <c r="G9" s="240">
        <v>0.53204861111111112</v>
      </c>
      <c r="H9" s="236">
        <f t="shared" si="2"/>
        <v>6969.0000000000009</v>
      </c>
      <c r="I9" s="241">
        <f t="shared" si="3"/>
        <v>571.9</v>
      </c>
      <c r="J9" s="238"/>
      <c r="K9" s="242">
        <f t="shared" si="4"/>
        <v>1250.0000000000009</v>
      </c>
      <c r="L9" s="240">
        <f t="shared" si="5"/>
        <v>4.4212962962962964E-3</v>
      </c>
      <c r="M9" s="243">
        <f t="shared" si="6"/>
        <v>38.200000000000003</v>
      </c>
      <c r="N9" s="244">
        <f t="shared" si="7"/>
        <v>5.1657339647008174</v>
      </c>
      <c r="O9" s="245">
        <f t="shared" si="8"/>
        <v>17.5</v>
      </c>
      <c r="P9" s="281"/>
      <c r="Q9" s="247"/>
      <c r="R9" s="293"/>
      <c r="S9" s="316">
        <v>10.06</v>
      </c>
      <c r="T9" s="317">
        <v>9.4499999999999993</v>
      </c>
      <c r="U9" s="318">
        <v>9.44</v>
      </c>
      <c r="V9" s="319">
        <v>903.7</v>
      </c>
      <c r="W9" s="320">
        <v>571.9</v>
      </c>
      <c r="X9" s="321">
        <v>502.2</v>
      </c>
      <c r="Y9" s="308"/>
      <c r="Z9" s="322">
        <f t="shared" si="15"/>
        <v>17.5</v>
      </c>
      <c r="AA9" s="315">
        <f t="shared" si="16"/>
        <v>26.25</v>
      </c>
      <c r="AB9" s="323">
        <f t="shared" si="17"/>
        <v>36</v>
      </c>
    </row>
    <row r="10" spans="1:28" ht="14.25">
      <c r="A10" s="204"/>
      <c r="B10" s="235">
        <v>4</v>
      </c>
      <c r="C10" s="236">
        <v>6793</v>
      </c>
      <c r="D10" s="237" t="str">
        <f t="shared" si="0"/>
        <v>Miss Nippon Ⅷ</v>
      </c>
      <c r="E10" s="354">
        <f t="shared" si="1"/>
        <v>10.61</v>
      </c>
      <c r="F10" s="239">
        <v>4</v>
      </c>
      <c r="G10" s="240">
        <v>0.53453703703703703</v>
      </c>
      <c r="H10" s="236">
        <f t="shared" si="2"/>
        <v>7183.9999999999991</v>
      </c>
      <c r="I10" s="241">
        <f t="shared" si="3"/>
        <v>549.1</v>
      </c>
      <c r="J10" s="238"/>
      <c r="K10" s="242">
        <f t="shared" si="4"/>
        <v>1692.9999999999991</v>
      </c>
      <c r="L10" s="240">
        <f t="shared" si="5"/>
        <v>9.5486111111110893E-3</v>
      </c>
      <c r="M10" s="243">
        <f t="shared" si="6"/>
        <v>82.499999999999815</v>
      </c>
      <c r="N10" s="244">
        <f t="shared" si="7"/>
        <v>5.0111358574610252</v>
      </c>
      <c r="O10" s="245">
        <f t="shared" si="8"/>
        <v>16.3</v>
      </c>
      <c r="P10" s="331"/>
      <c r="Q10" s="247"/>
      <c r="R10" s="293"/>
      <c r="S10" s="316">
        <f t="shared" si="9"/>
        <v>10.86</v>
      </c>
      <c r="T10" s="317">
        <f t="shared" si="10"/>
        <v>10.61</v>
      </c>
      <c r="U10" s="318">
        <f t="shared" si="11"/>
        <v>10.23</v>
      </c>
      <c r="V10" s="319">
        <f t="shared" si="12"/>
        <v>880.5</v>
      </c>
      <c r="W10" s="320">
        <f t="shared" si="13"/>
        <v>549.1</v>
      </c>
      <c r="X10" s="321">
        <f t="shared" si="14"/>
        <v>486.1</v>
      </c>
      <c r="Y10" s="308"/>
      <c r="Z10" s="322">
        <f t="shared" si="15"/>
        <v>16.25</v>
      </c>
      <c r="AA10" s="315">
        <f t="shared" si="16"/>
        <v>24.375</v>
      </c>
      <c r="AB10" s="323">
        <f t="shared" si="17"/>
        <v>34</v>
      </c>
    </row>
    <row r="11" spans="1:28" ht="14.25">
      <c r="A11" s="204"/>
      <c r="B11" s="248">
        <v>5</v>
      </c>
      <c r="C11" s="249">
        <v>1611</v>
      </c>
      <c r="D11" s="250" t="str">
        <f t="shared" si="0"/>
        <v>ﾈﾌﾟﾁｭｰﾝXⅡ</v>
      </c>
      <c r="E11" s="355">
        <f t="shared" si="1"/>
        <v>8.15</v>
      </c>
      <c r="F11" s="252">
        <v>6</v>
      </c>
      <c r="G11" s="253">
        <v>0.54094907407407411</v>
      </c>
      <c r="H11" s="254">
        <f t="shared" si="2"/>
        <v>7738.0000000000027</v>
      </c>
      <c r="I11" s="255">
        <f t="shared" si="3"/>
        <v>602.20000000000005</v>
      </c>
      <c r="J11" s="256"/>
      <c r="K11" s="257">
        <f t="shared" si="4"/>
        <v>1716.0000000000027</v>
      </c>
      <c r="L11" s="258">
        <f t="shared" si="5"/>
        <v>9.8148148148148352E-3</v>
      </c>
      <c r="M11" s="259">
        <f t="shared" si="6"/>
        <v>84.800000000000182</v>
      </c>
      <c r="N11" s="260">
        <f t="shared" si="7"/>
        <v>4.6523649521840253</v>
      </c>
      <c r="O11" s="261">
        <f t="shared" si="8"/>
        <v>15</v>
      </c>
      <c r="P11" s="262"/>
      <c r="Q11" s="263"/>
      <c r="R11" s="293"/>
      <c r="S11" s="316">
        <f t="shared" si="9"/>
        <v>8.2100000000000009</v>
      </c>
      <c r="T11" s="317">
        <f t="shared" si="10"/>
        <v>8.15</v>
      </c>
      <c r="U11" s="318">
        <f t="shared" si="11"/>
        <v>7.98</v>
      </c>
      <c r="V11" s="319">
        <f t="shared" si="12"/>
        <v>968.4</v>
      </c>
      <c r="W11" s="320">
        <f t="shared" si="13"/>
        <v>602.20000000000005</v>
      </c>
      <c r="X11" s="321">
        <f t="shared" si="14"/>
        <v>538.1</v>
      </c>
      <c r="Y11" s="308"/>
      <c r="Z11" s="322">
        <f t="shared" si="15"/>
        <v>15</v>
      </c>
      <c r="AA11" s="315">
        <f t="shared" si="16"/>
        <v>22.5</v>
      </c>
      <c r="AB11" s="323">
        <f t="shared" si="17"/>
        <v>32</v>
      </c>
    </row>
    <row r="12" spans="1:28" ht="14.25">
      <c r="A12" s="204"/>
      <c r="B12" s="222">
        <v>6</v>
      </c>
      <c r="C12" s="223">
        <v>2212</v>
      </c>
      <c r="D12" s="224" t="str">
        <f t="shared" si="0"/>
        <v>衣笠</v>
      </c>
      <c r="E12" s="353">
        <f t="shared" si="1"/>
        <v>8.9</v>
      </c>
      <c r="F12" s="226">
        <v>5</v>
      </c>
      <c r="G12" s="227">
        <v>0.53923611111111114</v>
      </c>
      <c r="H12" s="223">
        <f t="shared" si="2"/>
        <v>7590.0000000000018</v>
      </c>
      <c r="I12" s="228">
        <f t="shared" si="3"/>
        <v>584</v>
      </c>
      <c r="J12" s="225"/>
      <c r="K12" s="229">
        <f t="shared" si="4"/>
        <v>1750.0000000000018</v>
      </c>
      <c r="L12" s="227">
        <f t="shared" si="5"/>
        <v>1.0208333333333344E-2</v>
      </c>
      <c r="M12" s="230">
        <f t="shared" si="6"/>
        <v>88.200000000000088</v>
      </c>
      <c r="N12" s="231">
        <f t="shared" si="7"/>
        <v>4.7430830039525684</v>
      </c>
      <c r="O12" s="232">
        <f t="shared" si="8"/>
        <v>13.8</v>
      </c>
      <c r="P12" s="204"/>
      <c r="Q12" s="234"/>
      <c r="R12" s="293"/>
      <c r="S12" s="316">
        <f t="shared" si="9"/>
        <v>8.8000000000000007</v>
      </c>
      <c r="T12" s="317">
        <f t="shared" si="10"/>
        <v>8.9</v>
      </c>
      <c r="U12" s="318">
        <f t="shared" si="11"/>
        <v>9.0399999999999991</v>
      </c>
      <c r="V12" s="319">
        <f t="shared" si="12"/>
        <v>945.7</v>
      </c>
      <c r="W12" s="320">
        <f t="shared" si="13"/>
        <v>584</v>
      </c>
      <c r="X12" s="321">
        <f t="shared" si="14"/>
        <v>511.4</v>
      </c>
      <c r="Y12" s="308"/>
      <c r="Z12" s="322">
        <f t="shared" si="15"/>
        <v>13.75</v>
      </c>
      <c r="AA12" s="315">
        <f t="shared" si="16"/>
        <v>20.625</v>
      </c>
      <c r="AB12" s="323">
        <f t="shared" si="17"/>
        <v>30</v>
      </c>
    </row>
    <row r="13" spans="1:28" ht="14.25">
      <c r="A13" s="204"/>
      <c r="B13" s="235">
        <v>7</v>
      </c>
      <c r="C13" s="236">
        <v>4400</v>
      </c>
      <c r="D13" s="237" t="str">
        <f t="shared" si="0"/>
        <v>アイデアル</v>
      </c>
      <c r="E13" s="354">
        <v>7.54</v>
      </c>
      <c r="F13" s="239">
        <v>7</v>
      </c>
      <c r="G13" s="240">
        <v>0.5438425925925926</v>
      </c>
      <c r="H13" s="236">
        <f t="shared" si="2"/>
        <v>7988</v>
      </c>
      <c r="I13" s="241">
        <v>618.70000000000005</v>
      </c>
      <c r="J13" s="238"/>
      <c r="K13" s="242">
        <f>IFERROR(H13*(1+0.01*J13)-I13*$N$3,"")</f>
        <v>1801</v>
      </c>
      <c r="L13" s="240">
        <f t="shared" si="5"/>
        <v>1.0798611111111101E-2</v>
      </c>
      <c r="M13" s="243">
        <f t="shared" si="6"/>
        <v>93.299999999999912</v>
      </c>
      <c r="N13" s="244">
        <f t="shared" si="7"/>
        <v>4.5067601402103152</v>
      </c>
      <c r="O13" s="245">
        <f t="shared" si="8"/>
        <v>12.5</v>
      </c>
      <c r="P13" s="246"/>
      <c r="Q13" s="247"/>
      <c r="R13" s="293"/>
      <c r="S13" s="316">
        <f t="shared" si="9"/>
        <v>9.4700000000000006</v>
      </c>
      <c r="T13" s="317">
        <f t="shared" si="10"/>
        <v>9.0399999999999991</v>
      </c>
      <c r="U13" s="318">
        <f t="shared" si="11"/>
        <v>8.65</v>
      </c>
      <c r="V13" s="319">
        <f t="shared" si="12"/>
        <v>922.4</v>
      </c>
      <c r="W13" s="320">
        <f t="shared" si="13"/>
        <v>580.9</v>
      </c>
      <c r="X13" s="321">
        <f t="shared" si="14"/>
        <v>520.71488932356897</v>
      </c>
      <c r="Y13" s="308"/>
      <c r="Z13" s="322">
        <f t="shared" si="15"/>
        <v>12.5</v>
      </c>
      <c r="AA13" s="315">
        <f t="shared" si="16"/>
        <v>18.75</v>
      </c>
      <c r="AB13" s="323">
        <f t="shared" si="17"/>
        <v>28</v>
      </c>
    </row>
    <row r="14" spans="1:28" ht="14.25">
      <c r="A14" s="204"/>
      <c r="B14" s="235">
        <v>8</v>
      </c>
      <c r="C14" s="236">
        <v>4469</v>
      </c>
      <c r="D14" s="237" t="str">
        <f t="shared" si="0"/>
        <v>未央</v>
      </c>
      <c r="E14" s="354">
        <f t="shared" si="1"/>
        <v>6.6</v>
      </c>
      <c r="F14" s="239">
        <v>13</v>
      </c>
      <c r="G14" s="240">
        <v>0.55190972222222223</v>
      </c>
      <c r="H14" s="236">
        <f t="shared" si="2"/>
        <v>8685</v>
      </c>
      <c r="I14" s="241">
        <f t="shared" si="3"/>
        <v>648.5</v>
      </c>
      <c r="J14" s="238"/>
      <c r="K14" s="242">
        <f t="shared" si="4"/>
        <v>2200</v>
      </c>
      <c r="L14" s="240">
        <f t="shared" si="5"/>
        <v>1.5416666666666657E-2</v>
      </c>
      <c r="M14" s="243">
        <f t="shared" si="6"/>
        <v>133.1999999999999</v>
      </c>
      <c r="N14" s="244">
        <f t="shared" si="7"/>
        <v>4.1450777202072535</v>
      </c>
      <c r="O14" s="245">
        <f t="shared" si="8"/>
        <v>11.3</v>
      </c>
      <c r="P14" s="246"/>
      <c r="Q14" s="247"/>
      <c r="R14" s="293"/>
      <c r="S14" s="316">
        <f t="shared" si="9"/>
        <v>6.54</v>
      </c>
      <c r="T14" s="317">
        <f t="shared" si="10"/>
        <v>6.6</v>
      </c>
      <c r="U14" s="318">
        <f t="shared" si="11"/>
        <v>6.69</v>
      </c>
      <c r="V14" s="319">
        <f t="shared" si="12"/>
        <v>1046.0999999999999</v>
      </c>
      <c r="W14" s="320">
        <f t="shared" si="13"/>
        <v>648.5</v>
      </c>
      <c r="X14" s="321">
        <f t="shared" si="14"/>
        <v>578.4</v>
      </c>
      <c r="Y14" s="308"/>
      <c r="Z14" s="322">
        <f t="shared" si="15"/>
        <v>11.25</v>
      </c>
      <c r="AA14" s="315">
        <f t="shared" si="16"/>
        <v>16.875</v>
      </c>
      <c r="AB14" s="323">
        <f t="shared" si="17"/>
        <v>26</v>
      </c>
    </row>
    <row r="15" spans="1:28" ht="14.25">
      <c r="A15" s="204"/>
      <c r="B15" s="235">
        <v>9</v>
      </c>
      <c r="C15" s="236">
        <v>131</v>
      </c>
      <c r="D15" s="237" t="str">
        <f t="shared" si="0"/>
        <v>ふるたか</v>
      </c>
      <c r="E15" s="354">
        <f t="shared" si="1"/>
        <v>8.31</v>
      </c>
      <c r="F15" s="239">
        <v>9</v>
      </c>
      <c r="G15" s="240">
        <v>0.54627314814814809</v>
      </c>
      <c r="H15" s="236">
        <f t="shared" si="2"/>
        <v>8197.9999999999945</v>
      </c>
      <c r="I15" s="241">
        <f t="shared" si="3"/>
        <v>598.20000000000005</v>
      </c>
      <c r="J15" s="238"/>
      <c r="K15" s="242">
        <f t="shared" si="4"/>
        <v>2215.9999999999945</v>
      </c>
      <c r="L15" s="240">
        <f t="shared" si="5"/>
        <v>1.5601851851851778E-2</v>
      </c>
      <c r="M15" s="243">
        <f t="shared" si="6"/>
        <v>134.79999999999936</v>
      </c>
      <c r="N15" s="244">
        <f t="shared" si="7"/>
        <v>4.3913149548670436</v>
      </c>
      <c r="O15" s="245">
        <f t="shared" si="8"/>
        <v>10</v>
      </c>
      <c r="P15" s="246"/>
      <c r="Q15" s="247"/>
      <c r="R15" s="293"/>
      <c r="S15" s="316">
        <f t="shared" si="9"/>
        <v>8.2899999999999991</v>
      </c>
      <c r="T15" s="317">
        <f t="shared" si="10"/>
        <v>8.31</v>
      </c>
      <c r="U15" s="318">
        <f t="shared" si="11"/>
        <v>8.0500000000000007</v>
      </c>
      <c r="V15" s="319">
        <f t="shared" si="12"/>
        <v>965.1</v>
      </c>
      <c r="W15" s="320">
        <f t="shared" si="13"/>
        <v>598.20000000000005</v>
      </c>
      <c r="X15" s="321">
        <f t="shared" si="14"/>
        <v>536.29999999999995</v>
      </c>
      <c r="Y15" s="308"/>
      <c r="Z15" s="322">
        <f t="shared" si="15"/>
        <v>10</v>
      </c>
      <c r="AA15" s="315">
        <f t="shared" si="16"/>
        <v>15</v>
      </c>
      <c r="AB15" s="323">
        <f t="shared" si="17"/>
        <v>24</v>
      </c>
    </row>
    <row r="16" spans="1:28" ht="14.25">
      <c r="A16" s="204"/>
      <c r="B16" s="248">
        <v>10</v>
      </c>
      <c r="C16" s="249">
        <v>312</v>
      </c>
      <c r="D16" s="250" t="str">
        <f t="shared" si="0"/>
        <v>はやとり</v>
      </c>
      <c r="E16" s="355">
        <f t="shared" si="1"/>
        <v>8.2200000000000006</v>
      </c>
      <c r="F16" s="252">
        <v>10</v>
      </c>
      <c r="G16" s="253">
        <v>0.54751157407407403</v>
      </c>
      <c r="H16" s="249">
        <f t="shared" si="2"/>
        <v>8304.9999999999945</v>
      </c>
      <c r="I16" s="265">
        <f t="shared" si="3"/>
        <v>600.29999999999995</v>
      </c>
      <c r="J16" s="266"/>
      <c r="K16" s="267">
        <f t="shared" si="4"/>
        <v>2301.9999999999945</v>
      </c>
      <c r="L16" s="253">
        <f t="shared" si="5"/>
        <v>1.6597222222222149E-2</v>
      </c>
      <c r="M16" s="268">
        <f t="shared" si="6"/>
        <v>143.39999999999935</v>
      </c>
      <c r="N16" s="269">
        <f t="shared" si="7"/>
        <v>4.334738109572549</v>
      </c>
      <c r="O16" s="270">
        <f t="shared" si="8"/>
        <v>8.8000000000000007</v>
      </c>
      <c r="P16" s="262"/>
      <c r="Q16" s="263"/>
      <c r="R16" s="293"/>
      <c r="S16" s="316">
        <f t="shared" si="9"/>
        <v>8.31</v>
      </c>
      <c r="T16" s="317">
        <f t="shared" si="10"/>
        <v>8.2200000000000006</v>
      </c>
      <c r="U16" s="318">
        <f t="shared" si="11"/>
        <v>8.1300000000000008</v>
      </c>
      <c r="V16" s="319">
        <f t="shared" si="12"/>
        <v>964.4</v>
      </c>
      <c r="W16" s="320">
        <f t="shared" si="13"/>
        <v>600.29999999999995</v>
      </c>
      <c r="X16" s="321">
        <f t="shared" si="14"/>
        <v>534</v>
      </c>
      <c r="Y16" s="308"/>
      <c r="Z16" s="322">
        <f t="shared" si="15"/>
        <v>8.75</v>
      </c>
      <c r="AA16" s="315">
        <f t="shared" si="16"/>
        <v>13.125</v>
      </c>
      <c r="AB16" s="323">
        <f t="shared" si="17"/>
        <v>22</v>
      </c>
    </row>
    <row r="17" spans="1:28" ht="14.25">
      <c r="A17" s="204"/>
      <c r="B17" s="222">
        <v>11</v>
      </c>
      <c r="C17" s="223">
        <v>5755</v>
      </c>
      <c r="D17" s="224" t="str">
        <f t="shared" si="0"/>
        <v>ランカ</v>
      </c>
      <c r="E17" s="353">
        <f t="shared" si="1"/>
        <v>8.1</v>
      </c>
      <c r="F17" s="226">
        <v>11</v>
      </c>
      <c r="G17" s="227">
        <v>0.54817129629629624</v>
      </c>
      <c r="H17" s="271">
        <f t="shared" si="2"/>
        <v>8361.9999999999945</v>
      </c>
      <c r="I17" s="272">
        <f t="shared" si="3"/>
        <v>603.6</v>
      </c>
      <c r="J17" s="273"/>
      <c r="K17" s="274">
        <f t="shared" si="4"/>
        <v>2325.9999999999945</v>
      </c>
      <c r="L17" s="275">
        <f t="shared" si="5"/>
        <v>1.6874999999999925E-2</v>
      </c>
      <c r="M17" s="276">
        <f t="shared" si="6"/>
        <v>145.79999999999936</v>
      </c>
      <c r="N17" s="277">
        <f t="shared" si="7"/>
        <v>4.3051901458981137</v>
      </c>
      <c r="O17" s="278">
        <f t="shared" si="8"/>
        <v>7.5</v>
      </c>
      <c r="P17" s="343"/>
      <c r="Q17" s="234"/>
      <c r="R17" s="293"/>
      <c r="S17" s="316">
        <f t="shared" si="9"/>
        <v>8.25</v>
      </c>
      <c r="T17" s="317">
        <f t="shared" si="10"/>
        <v>8.1</v>
      </c>
      <c r="U17" s="318">
        <f t="shared" si="11"/>
        <v>8.11</v>
      </c>
      <c r="V17" s="319">
        <f t="shared" si="12"/>
        <v>966.8</v>
      </c>
      <c r="W17" s="320">
        <f t="shared" si="13"/>
        <v>603.6</v>
      </c>
      <c r="X17" s="321">
        <f t="shared" si="14"/>
        <v>534.5</v>
      </c>
      <c r="Y17" s="308"/>
      <c r="Z17" s="322">
        <f t="shared" si="15"/>
        <v>7.5</v>
      </c>
      <c r="AA17" s="315">
        <f t="shared" si="16"/>
        <v>11.25</v>
      </c>
      <c r="AB17" s="323">
        <f t="shared" si="17"/>
        <v>20</v>
      </c>
    </row>
    <row r="18" spans="1:28" ht="14.25">
      <c r="A18" s="204"/>
      <c r="B18" s="235">
        <v>12</v>
      </c>
      <c r="C18" s="236">
        <v>380</v>
      </c>
      <c r="D18" s="237" t="str">
        <f t="shared" si="0"/>
        <v>テティス</v>
      </c>
      <c r="E18" s="354">
        <f t="shared" si="1"/>
        <v>10.23</v>
      </c>
      <c r="F18" s="239">
        <v>8</v>
      </c>
      <c r="G18" s="240">
        <v>0.54387731481481483</v>
      </c>
      <c r="H18" s="236">
        <f t="shared" si="2"/>
        <v>7991.0000000000009</v>
      </c>
      <c r="I18" s="241">
        <f t="shared" si="3"/>
        <v>556.20000000000005</v>
      </c>
      <c r="J18" s="238"/>
      <c r="K18" s="242">
        <f t="shared" si="4"/>
        <v>2429.0000000000009</v>
      </c>
      <c r="L18" s="240">
        <f t="shared" si="5"/>
        <v>1.8067129629629631E-2</v>
      </c>
      <c r="M18" s="243">
        <f t="shared" si="6"/>
        <v>156.1</v>
      </c>
      <c r="N18" s="244">
        <f t="shared" si="7"/>
        <v>4.5050682017269423</v>
      </c>
      <c r="O18" s="245">
        <f t="shared" si="8"/>
        <v>6.3</v>
      </c>
      <c r="P18" s="246"/>
      <c r="Q18" s="247"/>
      <c r="R18" s="293"/>
      <c r="S18" s="316">
        <f t="shared" si="9"/>
        <v>10.44</v>
      </c>
      <c r="T18" s="317">
        <f t="shared" si="10"/>
        <v>10.23</v>
      </c>
      <c r="U18" s="318">
        <f t="shared" si="11"/>
        <v>9.94</v>
      </c>
      <c r="V18" s="319">
        <f t="shared" si="12"/>
        <v>892.3</v>
      </c>
      <c r="W18" s="320">
        <f t="shared" si="13"/>
        <v>556.20000000000005</v>
      </c>
      <c r="X18" s="321">
        <f t="shared" si="14"/>
        <v>491.8</v>
      </c>
      <c r="Y18" s="308"/>
      <c r="Z18" s="322">
        <f t="shared" si="15"/>
        <v>6.25</v>
      </c>
      <c r="AA18" s="315">
        <f t="shared" si="16"/>
        <v>9.375</v>
      </c>
      <c r="AB18" s="323">
        <f t="shared" si="17"/>
        <v>18</v>
      </c>
    </row>
    <row r="19" spans="1:28" ht="14.25">
      <c r="A19" s="204"/>
      <c r="B19" s="235">
        <v>13</v>
      </c>
      <c r="C19" s="264">
        <v>2759</v>
      </c>
      <c r="D19" s="237" t="str">
        <f t="shared" si="0"/>
        <v>イクソラⅢ</v>
      </c>
      <c r="E19" s="354">
        <f t="shared" si="1"/>
        <v>6.67</v>
      </c>
      <c r="F19" s="239">
        <v>15</v>
      </c>
      <c r="G19" s="240">
        <v>0.55466435185185181</v>
      </c>
      <c r="H19" s="236">
        <f t="shared" si="2"/>
        <v>8922.9999999999964</v>
      </c>
      <c r="I19" s="241">
        <f t="shared" si="3"/>
        <v>646</v>
      </c>
      <c r="J19" s="238"/>
      <c r="K19" s="242">
        <f t="shared" si="4"/>
        <v>2462.9999999999964</v>
      </c>
      <c r="L19" s="240">
        <f t="shared" si="5"/>
        <v>1.8460648148148094E-2</v>
      </c>
      <c r="M19" s="243">
        <f t="shared" si="6"/>
        <v>159.49999999999955</v>
      </c>
      <c r="N19" s="244">
        <f t="shared" si="7"/>
        <v>4.0345175389443027</v>
      </c>
      <c r="O19" s="245">
        <f t="shared" si="8"/>
        <v>5</v>
      </c>
      <c r="P19" s="246"/>
      <c r="Q19" s="247"/>
      <c r="R19" s="293"/>
      <c r="S19" s="316">
        <f t="shared" si="9"/>
        <v>6.75</v>
      </c>
      <c r="T19" s="317">
        <f t="shared" si="10"/>
        <v>6.67</v>
      </c>
      <c r="U19" s="318">
        <f t="shared" si="11"/>
        <v>6.68</v>
      </c>
      <c r="V19" s="319">
        <f t="shared" si="12"/>
        <v>1034.8</v>
      </c>
      <c r="W19" s="320">
        <f t="shared" si="13"/>
        <v>646</v>
      </c>
      <c r="X19" s="321">
        <f t="shared" si="14"/>
        <v>578.79999999999995</v>
      </c>
      <c r="Y19" s="308"/>
      <c r="Z19" s="322">
        <f t="shared" si="15"/>
        <v>5</v>
      </c>
      <c r="AA19" s="315">
        <f t="shared" si="16"/>
        <v>7.5</v>
      </c>
      <c r="AB19" s="323">
        <f t="shared" si="17"/>
        <v>16</v>
      </c>
    </row>
    <row r="20" spans="1:28" ht="14.25">
      <c r="A20" s="204"/>
      <c r="B20" s="235">
        <v>14</v>
      </c>
      <c r="C20" s="236">
        <v>346</v>
      </c>
      <c r="D20" s="237" t="str">
        <f t="shared" si="0"/>
        <v>飛車角</v>
      </c>
      <c r="E20" s="354">
        <f t="shared" si="1"/>
        <v>8.58</v>
      </c>
      <c r="F20" s="239">
        <v>14</v>
      </c>
      <c r="G20" s="240">
        <v>0.55212962962962964</v>
      </c>
      <c r="H20" s="236">
        <f t="shared" si="2"/>
        <v>8704</v>
      </c>
      <c r="I20" s="241">
        <f t="shared" si="3"/>
        <v>591.5</v>
      </c>
      <c r="J20" s="238"/>
      <c r="K20" s="242">
        <f t="shared" si="4"/>
        <v>2789</v>
      </c>
      <c r="L20" s="240">
        <f t="shared" si="5"/>
        <v>2.2233796296296286E-2</v>
      </c>
      <c r="M20" s="243">
        <f t="shared" si="6"/>
        <v>192.09999999999991</v>
      </c>
      <c r="N20" s="244">
        <f t="shared" si="7"/>
        <v>4.1360294117647056</v>
      </c>
      <c r="O20" s="245">
        <f t="shared" si="8"/>
        <v>3.8</v>
      </c>
      <c r="P20" s="349"/>
      <c r="Q20" s="247"/>
      <c r="R20" s="293"/>
      <c r="S20" s="316">
        <f t="shared" si="9"/>
        <v>8.61</v>
      </c>
      <c r="T20" s="317">
        <f t="shared" si="10"/>
        <v>8.58</v>
      </c>
      <c r="U20" s="318">
        <f t="shared" si="11"/>
        <v>8.68</v>
      </c>
      <c r="V20" s="319">
        <f t="shared" si="12"/>
        <v>952.6</v>
      </c>
      <c r="W20" s="320">
        <f t="shared" si="13"/>
        <v>591.5</v>
      </c>
      <c r="X20" s="321">
        <f t="shared" si="14"/>
        <v>519.79999999999995</v>
      </c>
      <c r="Y20" s="308"/>
      <c r="Z20" s="322">
        <f t="shared" si="15"/>
        <v>3.75</v>
      </c>
      <c r="AA20" s="315">
        <f t="shared" si="16"/>
        <v>5.625</v>
      </c>
      <c r="AB20" s="323">
        <f t="shared" si="17"/>
        <v>14</v>
      </c>
    </row>
    <row r="21" spans="1:28" ht="14.25">
      <c r="A21" s="204"/>
      <c r="B21" s="248">
        <v>15</v>
      </c>
      <c r="C21" s="249">
        <v>199</v>
      </c>
      <c r="D21" s="237" t="str">
        <f t="shared" si="0"/>
        <v>サ－モン4</v>
      </c>
      <c r="E21" s="355">
        <f t="shared" si="1"/>
        <v>9.15</v>
      </c>
      <c r="F21" s="252">
        <v>12</v>
      </c>
      <c r="G21" s="253">
        <v>0.55106481481481484</v>
      </c>
      <c r="H21" s="249">
        <f t="shared" si="2"/>
        <v>8612.0000000000018</v>
      </c>
      <c r="I21" s="265">
        <f t="shared" si="3"/>
        <v>578.20000000000005</v>
      </c>
      <c r="J21" s="251"/>
      <c r="K21" s="267">
        <f t="shared" si="4"/>
        <v>2830.0000000000018</v>
      </c>
      <c r="L21" s="253">
        <f t="shared" si="5"/>
        <v>2.2708333333333344E-2</v>
      </c>
      <c r="M21" s="268">
        <f t="shared" si="6"/>
        <v>196.2000000000001</v>
      </c>
      <c r="N21" s="269">
        <f t="shared" si="7"/>
        <v>4.1802136553646063</v>
      </c>
      <c r="O21" s="270">
        <f t="shared" si="8"/>
        <v>2.5</v>
      </c>
      <c r="P21" s="333"/>
      <c r="Q21" s="263"/>
      <c r="R21" s="293"/>
      <c r="S21" s="316">
        <f t="shared" si="9"/>
        <v>9.24</v>
      </c>
      <c r="T21" s="317">
        <f t="shared" si="10"/>
        <v>9.15</v>
      </c>
      <c r="U21" s="318">
        <f t="shared" si="11"/>
        <v>9.1</v>
      </c>
      <c r="V21" s="319">
        <f t="shared" si="12"/>
        <v>930.3</v>
      </c>
      <c r="W21" s="320">
        <f t="shared" si="13"/>
        <v>578.20000000000005</v>
      </c>
      <c r="X21" s="321">
        <f t="shared" si="14"/>
        <v>509.9</v>
      </c>
      <c r="Y21" s="308"/>
      <c r="Z21" s="322">
        <f t="shared" si="15"/>
        <v>2.5</v>
      </c>
      <c r="AA21" s="315">
        <f t="shared" si="16"/>
        <v>3.75</v>
      </c>
      <c r="AB21" s="323">
        <f t="shared" si="17"/>
        <v>12</v>
      </c>
    </row>
    <row r="22" spans="1:28" ht="14.25">
      <c r="A22" s="204"/>
      <c r="B22" s="279">
        <v>16</v>
      </c>
      <c r="C22" s="271">
        <v>162</v>
      </c>
      <c r="D22" s="224" t="str">
        <f t="shared" si="0"/>
        <v>ﾌｪﾆｯｸｽ</v>
      </c>
      <c r="E22" s="353">
        <f t="shared" si="1"/>
        <v>6.84</v>
      </c>
      <c r="F22" s="226">
        <v>16</v>
      </c>
      <c r="G22" s="275">
        <v>0.56359953703703702</v>
      </c>
      <c r="H22" s="271">
        <f t="shared" si="2"/>
        <v>9694.9999999999982</v>
      </c>
      <c r="I22" s="272">
        <f t="shared" si="3"/>
        <v>640.4</v>
      </c>
      <c r="J22" s="273"/>
      <c r="K22" s="274">
        <f t="shared" si="4"/>
        <v>3290.9999999999982</v>
      </c>
      <c r="L22" s="275">
        <f t="shared" si="5"/>
        <v>2.8043981481481451E-2</v>
      </c>
      <c r="M22" s="276">
        <f t="shared" si="6"/>
        <v>242.29999999999973</v>
      </c>
      <c r="N22" s="277">
        <f t="shared" si="7"/>
        <v>3.7132542547705008</v>
      </c>
      <c r="O22" s="278">
        <f t="shared" si="8"/>
        <v>1.3</v>
      </c>
      <c r="P22" s="286"/>
      <c r="Q22" s="280"/>
      <c r="R22" s="293"/>
      <c r="S22" s="316">
        <f t="shared" si="9"/>
        <v>6.96</v>
      </c>
      <c r="T22" s="317">
        <f t="shared" si="10"/>
        <v>6.84</v>
      </c>
      <c r="U22" s="318">
        <f t="shared" si="11"/>
        <v>6.95</v>
      </c>
      <c r="V22" s="319">
        <f t="shared" si="12"/>
        <v>1024.3</v>
      </c>
      <c r="W22" s="320">
        <f t="shared" si="13"/>
        <v>640.4</v>
      </c>
      <c r="X22" s="321">
        <f t="shared" si="14"/>
        <v>569.4</v>
      </c>
      <c r="Y22" s="308"/>
      <c r="Z22" s="322">
        <f t="shared" si="15"/>
        <v>1.25</v>
      </c>
      <c r="AA22" s="315">
        <f t="shared" si="16"/>
        <v>1.875</v>
      </c>
      <c r="AB22" s="323">
        <f t="shared" si="17"/>
        <v>10</v>
      </c>
    </row>
    <row r="23" spans="1:28" ht="14.25">
      <c r="A23" s="204"/>
      <c r="B23" s="235"/>
      <c r="C23" s="236"/>
      <c r="D23" s="237"/>
      <c r="E23" s="238"/>
      <c r="F23" s="239"/>
      <c r="G23" s="240"/>
      <c r="H23" s="271"/>
      <c r="I23" s="272"/>
      <c r="J23" s="273"/>
      <c r="K23" s="274"/>
      <c r="L23" s="275"/>
      <c r="M23" s="276"/>
      <c r="N23" s="277"/>
      <c r="O23" s="278"/>
      <c r="P23" s="281"/>
      <c r="Q23" s="247"/>
      <c r="R23" s="293"/>
      <c r="S23" s="316" t="str">
        <f t="shared" si="9"/>
        <v/>
      </c>
      <c r="T23" s="317" t="str">
        <f t="shared" si="10"/>
        <v/>
      </c>
      <c r="U23" s="318" t="str">
        <f t="shared" si="11"/>
        <v/>
      </c>
      <c r="V23" s="319" t="str">
        <f t="shared" si="12"/>
        <v/>
      </c>
      <c r="W23" s="320" t="str">
        <f t="shared" si="13"/>
        <v/>
      </c>
      <c r="X23" s="321" t="str">
        <f t="shared" si="14"/>
        <v/>
      </c>
      <c r="Y23" s="308"/>
      <c r="Z23" s="322" t="str">
        <f t="shared" si="15"/>
        <v/>
      </c>
      <c r="AA23" s="315" t="str">
        <f t="shared" si="16"/>
        <v/>
      </c>
      <c r="AB23" s="323" t="str">
        <f t="shared" si="17"/>
        <v/>
      </c>
    </row>
    <row r="24" spans="1:28" ht="14.25">
      <c r="A24" s="204"/>
      <c r="B24" s="235"/>
      <c r="C24" s="236"/>
      <c r="D24" s="237"/>
      <c r="E24" s="238"/>
      <c r="F24" s="239"/>
      <c r="G24" s="240"/>
      <c r="H24" s="236"/>
      <c r="I24" s="241"/>
      <c r="J24" s="238"/>
      <c r="K24" s="242"/>
      <c r="L24" s="240"/>
      <c r="M24" s="243"/>
      <c r="N24" s="244"/>
      <c r="O24" s="245"/>
      <c r="P24" s="282"/>
      <c r="Q24" s="247"/>
      <c r="R24" s="293"/>
      <c r="S24" s="316" t="str">
        <f t="shared" si="9"/>
        <v/>
      </c>
      <c r="T24" s="317" t="str">
        <f t="shared" si="10"/>
        <v/>
      </c>
      <c r="U24" s="318" t="str">
        <f t="shared" si="11"/>
        <v/>
      </c>
      <c r="V24" s="319" t="str">
        <f t="shared" si="12"/>
        <v/>
      </c>
      <c r="W24" s="320" t="str">
        <f t="shared" si="13"/>
        <v/>
      </c>
      <c r="X24" s="321" t="str">
        <f t="shared" si="14"/>
        <v/>
      </c>
      <c r="Y24" s="308"/>
      <c r="Z24" s="322" t="str">
        <f t="shared" si="15"/>
        <v/>
      </c>
      <c r="AA24" s="315" t="str">
        <f t="shared" si="16"/>
        <v/>
      </c>
      <c r="AB24" s="323" t="str">
        <f t="shared" si="17"/>
        <v/>
      </c>
    </row>
    <row r="25" spans="1:28" ht="14.25">
      <c r="A25" s="204"/>
      <c r="B25" s="235"/>
      <c r="C25" s="236"/>
      <c r="D25" s="237" t="str">
        <f t="shared" ref="D25:D31" si="18">IF(ISBLANK(C25),"",VLOOKUP(C25,各艇データ,2,FALSE))</f>
        <v/>
      </c>
      <c r="E25" s="238"/>
      <c r="F25" s="239"/>
      <c r="G25" s="240"/>
      <c r="H25" s="236"/>
      <c r="I25" s="241"/>
      <c r="J25" s="238"/>
      <c r="K25" s="242"/>
      <c r="L25" s="240"/>
      <c r="M25" s="243"/>
      <c r="N25" s="244"/>
      <c r="O25" s="245"/>
      <c r="P25" s="282"/>
      <c r="Q25" s="247"/>
      <c r="R25" s="293"/>
      <c r="S25" s="316" t="str">
        <f t="shared" si="9"/>
        <v/>
      </c>
      <c r="T25" s="317" t="str">
        <f t="shared" si="10"/>
        <v/>
      </c>
      <c r="U25" s="318" t="str">
        <f t="shared" si="11"/>
        <v/>
      </c>
      <c r="V25" s="319" t="str">
        <f t="shared" si="12"/>
        <v/>
      </c>
      <c r="W25" s="320" t="str">
        <f t="shared" si="13"/>
        <v/>
      </c>
      <c r="X25" s="321" t="str">
        <f t="shared" si="14"/>
        <v/>
      </c>
      <c r="Y25" s="308"/>
      <c r="Z25" s="322" t="str">
        <f t="shared" si="15"/>
        <v/>
      </c>
      <c r="AA25" s="315" t="str">
        <f t="shared" si="16"/>
        <v/>
      </c>
      <c r="AB25" s="323" t="str">
        <f t="shared" si="17"/>
        <v/>
      </c>
    </row>
    <row r="26" spans="1:28" ht="14.25">
      <c r="A26" s="204"/>
      <c r="B26" s="248"/>
      <c r="C26" s="249"/>
      <c r="D26" s="250" t="str">
        <f t="shared" si="18"/>
        <v/>
      </c>
      <c r="E26" s="251"/>
      <c r="F26" s="252"/>
      <c r="G26" s="253"/>
      <c r="H26" s="249" t="str">
        <f>IFERROR(IF(G26-$Q$2&lt;=0,"",(G26-$Q$2)*86400),"")</f>
        <v/>
      </c>
      <c r="I26" s="265" t="str">
        <f>IF($I$6="Ⅰ",V26,IF($I$6="Ⅱ",W26,IF($I$6="Ⅲ",X26,"")))</f>
        <v/>
      </c>
      <c r="J26" s="251"/>
      <c r="K26" s="267" t="str">
        <f>IFERROR(H26*(1+0.01*J26)-I26*$N$3,"")</f>
        <v/>
      </c>
      <c r="L26" s="253" t="str">
        <f>IFERROR((K26-$K$7)/86400,"")</f>
        <v/>
      </c>
      <c r="M26" s="268" t="str">
        <f>IFERROR((K26-$K$7)/$N$3,"")</f>
        <v/>
      </c>
      <c r="N26" s="269" t="str">
        <f>IFERROR($N$3/(H26/3600),"")</f>
        <v/>
      </c>
      <c r="O26" s="270" t="str">
        <f>IF($O$6="MAX=20",Z26,IF($O$6="MAX=30",AA26,IF($O$6="MAX=40",AB26,"")))</f>
        <v/>
      </c>
      <c r="P26" s="283"/>
      <c r="Q26" s="263"/>
      <c r="R26" s="293"/>
      <c r="S26" s="316" t="str">
        <f t="shared" si="9"/>
        <v/>
      </c>
      <c r="T26" s="317" t="str">
        <f t="shared" si="10"/>
        <v/>
      </c>
      <c r="U26" s="318" t="str">
        <f t="shared" si="11"/>
        <v/>
      </c>
      <c r="V26" s="319" t="str">
        <f t="shared" si="12"/>
        <v/>
      </c>
      <c r="W26" s="320" t="str">
        <f t="shared" si="13"/>
        <v/>
      </c>
      <c r="X26" s="321" t="str">
        <f t="shared" si="14"/>
        <v/>
      </c>
      <c r="Y26" s="308"/>
      <c r="Z26" s="322" t="str">
        <f t="shared" si="15"/>
        <v/>
      </c>
      <c r="AA26" s="315" t="str">
        <f t="shared" si="16"/>
        <v/>
      </c>
      <c r="AB26" s="323" t="str">
        <f t="shared" si="17"/>
        <v/>
      </c>
    </row>
    <row r="27" spans="1:28" ht="14.25">
      <c r="A27" s="204"/>
      <c r="B27" s="279"/>
      <c r="C27" s="271"/>
      <c r="D27" s="284" t="str">
        <f t="shared" si="18"/>
        <v/>
      </c>
      <c r="E27" s="273"/>
      <c r="F27" s="285"/>
      <c r="G27" s="275"/>
      <c r="H27" s="223" t="str">
        <f>IFERROR(IF(G27-$Q$2&lt;=0,"",(G27-$Q$2)*86400),"")</f>
        <v/>
      </c>
      <c r="I27" s="228"/>
      <c r="J27" s="225"/>
      <c r="K27" s="229" t="str">
        <f>IFERROR(H27*(1+0.01*J27)-I27*$N$3,"")</f>
        <v/>
      </c>
      <c r="L27" s="227" t="str">
        <f>IFERROR((K27-$K$7)/86400,"")</f>
        <v/>
      </c>
      <c r="M27" s="230" t="str">
        <f>IFERROR((K27-$K$7)/$N$3,"")</f>
        <v/>
      </c>
      <c r="N27" s="231" t="str">
        <f>IFERROR($N$3/(H27/3600),"")</f>
        <v/>
      </c>
      <c r="O27" s="232"/>
      <c r="P27" s="286"/>
      <c r="Q27" s="280"/>
      <c r="R27" s="293"/>
      <c r="S27" s="316" t="str">
        <f t="shared" si="9"/>
        <v/>
      </c>
      <c r="T27" s="317" t="str">
        <f t="shared" si="10"/>
        <v/>
      </c>
      <c r="U27" s="318" t="str">
        <f t="shared" si="11"/>
        <v/>
      </c>
      <c r="V27" s="319" t="str">
        <f t="shared" si="12"/>
        <v/>
      </c>
      <c r="W27" s="320" t="str">
        <f t="shared" si="13"/>
        <v/>
      </c>
      <c r="X27" s="321" t="str">
        <f t="shared" si="14"/>
        <v/>
      </c>
      <c r="Y27" s="308"/>
      <c r="Z27" s="322" t="str">
        <f t="shared" si="15"/>
        <v/>
      </c>
      <c r="AA27" s="315" t="str">
        <f t="shared" si="16"/>
        <v/>
      </c>
      <c r="AB27" s="323" t="str">
        <f t="shared" si="17"/>
        <v/>
      </c>
    </row>
    <row r="28" spans="1:28" ht="14.25" customHeight="1">
      <c r="A28" s="204"/>
      <c r="B28" s="235"/>
      <c r="C28" s="236"/>
      <c r="D28" s="237" t="str">
        <f t="shared" si="18"/>
        <v/>
      </c>
      <c r="E28" s="238"/>
      <c r="F28" s="239"/>
      <c r="G28" s="240"/>
      <c r="H28" s="236"/>
      <c r="I28" s="241"/>
      <c r="J28" s="238"/>
      <c r="K28" s="242"/>
      <c r="L28" s="240"/>
      <c r="M28" s="243"/>
      <c r="N28" s="244"/>
      <c r="O28" s="245"/>
      <c r="P28" s="287"/>
      <c r="Q28" s="247"/>
      <c r="R28" s="293"/>
      <c r="S28" s="316" t="str">
        <f t="shared" si="9"/>
        <v/>
      </c>
      <c r="T28" s="317" t="str">
        <f t="shared" si="10"/>
        <v/>
      </c>
      <c r="U28" s="318" t="str">
        <f t="shared" si="11"/>
        <v/>
      </c>
      <c r="V28" s="319" t="str">
        <f t="shared" si="12"/>
        <v/>
      </c>
      <c r="W28" s="320" t="str">
        <f t="shared" si="13"/>
        <v/>
      </c>
      <c r="X28" s="321" t="str">
        <f t="shared" si="14"/>
        <v/>
      </c>
      <c r="Y28" s="308"/>
      <c r="Z28" s="322" t="str">
        <f t="shared" si="15"/>
        <v/>
      </c>
      <c r="AA28" s="315" t="str">
        <f t="shared" si="16"/>
        <v/>
      </c>
      <c r="AB28" s="323" t="str">
        <f t="shared" si="17"/>
        <v/>
      </c>
    </row>
    <row r="29" spans="1:28" ht="14.25">
      <c r="A29" s="204"/>
      <c r="B29" s="235"/>
      <c r="C29" s="236"/>
      <c r="D29" s="237" t="str">
        <f t="shared" si="18"/>
        <v/>
      </c>
      <c r="E29" s="238"/>
      <c r="F29" s="239"/>
      <c r="G29" s="240"/>
      <c r="H29" s="236"/>
      <c r="I29" s="241"/>
      <c r="J29" s="238"/>
      <c r="K29" s="242"/>
      <c r="L29" s="240"/>
      <c r="M29" s="243"/>
      <c r="N29" s="244"/>
      <c r="O29" s="245"/>
      <c r="P29" s="282"/>
      <c r="Q29" s="247"/>
      <c r="R29" s="293"/>
      <c r="S29" s="316" t="str">
        <f t="shared" si="9"/>
        <v/>
      </c>
      <c r="T29" s="317" t="str">
        <f t="shared" si="10"/>
        <v/>
      </c>
      <c r="U29" s="318" t="str">
        <f t="shared" si="11"/>
        <v/>
      </c>
      <c r="V29" s="319" t="str">
        <f t="shared" si="12"/>
        <v/>
      </c>
      <c r="W29" s="320" t="str">
        <f t="shared" si="13"/>
        <v/>
      </c>
      <c r="X29" s="321" t="str">
        <f t="shared" si="14"/>
        <v/>
      </c>
      <c r="Y29" s="308"/>
      <c r="Z29" s="322" t="str">
        <f t="shared" si="15"/>
        <v/>
      </c>
      <c r="AA29" s="315" t="str">
        <f t="shared" si="16"/>
        <v/>
      </c>
      <c r="AB29" s="323" t="str">
        <f t="shared" si="17"/>
        <v/>
      </c>
    </row>
    <row r="30" spans="1:28" ht="14.25" customHeight="1">
      <c r="A30" s="204"/>
      <c r="B30" s="235"/>
      <c r="C30" s="236"/>
      <c r="D30" s="237" t="str">
        <f t="shared" si="18"/>
        <v/>
      </c>
      <c r="E30" s="238"/>
      <c r="F30" s="239"/>
      <c r="G30" s="240"/>
      <c r="H30" s="236"/>
      <c r="I30" s="241"/>
      <c r="J30" s="238"/>
      <c r="K30" s="242"/>
      <c r="L30" s="240"/>
      <c r="M30" s="243"/>
      <c r="N30" s="244"/>
      <c r="O30" s="245"/>
      <c r="P30" s="282"/>
      <c r="Q30" s="247"/>
      <c r="R30" s="293"/>
      <c r="S30" s="316" t="str">
        <f t="shared" si="9"/>
        <v/>
      </c>
      <c r="T30" s="317" t="str">
        <f t="shared" si="10"/>
        <v/>
      </c>
      <c r="U30" s="318" t="str">
        <f t="shared" si="11"/>
        <v/>
      </c>
      <c r="V30" s="319" t="str">
        <f t="shared" si="12"/>
        <v/>
      </c>
      <c r="W30" s="320" t="str">
        <f t="shared" si="13"/>
        <v/>
      </c>
      <c r="X30" s="321" t="str">
        <f t="shared" si="14"/>
        <v/>
      </c>
      <c r="Y30" s="308"/>
      <c r="Z30" s="322" t="str">
        <f t="shared" si="15"/>
        <v/>
      </c>
      <c r="AA30" s="315" t="str">
        <f t="shared" si="16"/>
        <v/>
      </c>
      <c r="AB30" s="323" t="str">
        <f t="shared" si="17"/>
        <v/>
      </c>
    </row>
    <row r="31" spans="1:28" ht="15" thickBot="1">
      <c r="A31" s="204"/>
      <c r="B31" s="235"/>
      <c r="C31" s="236"/>
      <c r="D31" s="250" t="str">
        <f t="shared" si="18"/>
        <v/>
      </c>
      <c r="E31" s="251"/>
      <c r="F31" s="239"/>
      <c r="G31" s="240"/>
      <c r="H31" s="249" t="str">
        <f>IFERROR(IF(G31-$Q$2&lt;=0,"",(G31-$Q$2)*86400),"")</f>
        <v/>
      </c>
      <c r="I31" s="265" t="str">
        <f>IF($I$6="Ⅰ",V31,IF($I$6="Ⅱ",W31,IF($I$6="Ⅲ",X31,"")))</f>
        <v/>
      </c>
      <c r="J31" s="251"/>
      <c r="K31" s="267" t="str">
        <f>IFERROR(H31*(1+0.01*J31)-I31*$N$3,"")</f>
        <v/>
      </c>
      <c r="L31" s="253" t="str">
        <f>IFERROR((K31-$K$7)/86400,"")</f>
        <v/>
      </c>
      <c r="M31" s="268" t="str">
        <f>IFERROR((K31-$K$7)/$N$3,"")</f>
        <v/>
      </c>
      <c r="N31" s="269" t="str">
        <f>IFERROR($N$3/(H31/3600),"")</f>
        <v/>
      </c>
      <c r="O31" s="270" t="str">
        <f>IF($O$6="MAX=20",Z31,IF($O$6="MAX=30",AA31,IF($O$6="MAX=40",AB31,"")))</f>
        <v/>
      </c>
      <c r="P31" s="283"/>
      <c r="Q31" s="263"/>
      <c r="R31" s="293"/>
      <c r="S31" s="324" t="str">
        <f t="shared" si="9"/>
        <v/>
      </c>
      <c r="T31" s="325" t="str">
        <f t="shared" si="10"/>
        <v/>
      </c>
      <c r="U31" s="326" t="str">
        <f t="shared" si="11"/>
        <v/>
      </c>
      <c r="V31" s="327" t="str">
        <f t="shared" si="12"/>
        <v/>
      </c>
      <c r="W31" s="328" t="str">
        <f t="shared" si="13"/>
        <v/>
      </c>
      <c r="X31" s="329" t="str">
        <f t="shared" si="14"/>
        <v/>
      </c>
      <c r="Y31" s="308"/>
      <c r="Z31" s="340" t="str">
        <f t="shared" si="15"/>
        <v/>
      </c>
      <c r="AA31" s="341" t="str">
        <f t="shared" si="16"/>
        <v/>
      </c>
      <c r="AB31" s="342" t="str">
        <f t="shared" si="17"/>
        <v/>
      </c>
    </row>
    <row r="32" spans="1:28" ht="15" customHeight="1">
      <c r="A32" s="204"/>
      <c r="B32" s="608" t="s">
        <v>366</v>
      </c>
      <c r="C32" s="609"/>
      <c r="D32" s="610"/>
      <c r="E32" s="288" t="s">
        <v>188</v>
      </c>
      <c r="F32" s="601" t="s">
        <v>376</v>
      </c>
      <c r="G32" s="602"/>
      <c r="H32" s="592" t="s">
        <v>379</v>
      </c>
      <c r="I32" s="593"/>
      <c r="J32" s="593"/>
      <c r="K32" s="593"/>
      <c r="L32" s="593"/>
      <c r="M32" s="593"/>
      <c r="N32" s="593"/>
      <c r="O32" s="593"/>
      <c r="P32" s="593"/>
      <c r="Q32" s="594"/>
      <c r="R32" s="193"/>
      <c r="S32" s="302"/>
      <c r="T32" s="302"/>
      <c r="U32" s="302"/>
      <c r="X32" s="302"/>
      <c r="Y32" s="302"/>
    </row>
    <row r="33" spans="1:25" ht="15">
      <c r="A33" s="204"/>
      <c r="B33" s="611"/>
      <c r="C33" s="612"/>
      <c r="D33" s="613"/>
      <c r="E33" s="289" t="s">
        <v>189</v>
      </c>
      <c r="F33" s="603" t="s">
        <v>377</v>
      </c>
      <c r="G33" s="604"/>
      <c r="H33" s="595"/>
      <c r="I33" s="596"/>
      <c r="J33" s="596"/>
      <c r="K33" s="596"/>
      <c r="L33" s="596"/>
      <c r="M33" s="596"/>
      <c r="N33" s="596"/>
      <c r="O33" s="596"/>
      <c r="P33" s="596"/>
      <c r="Q33" s="597"/>
      <c r="R33" s="193"/>
      <c r="S33" s="302"/>
      <c r="T33" s="302"/>
      <c r="U33" s="302"/>
      <c r="X33" s="302"/>
      <c r="Y33" s="302"/>
    </row>
    <row r="34" spans="1:25" ht="23.25" customHeight="1">
      <c r="A34" s="204"/>
      <c r="B34" s="614"/>
      <c r="C34" s="615"/>
      <c r="D34" s="616"/>
      <c r="E34" s="289" t="s">
        <v>190</v>
      </c>
      <c r="F34" s="603" t="s">
        <v>378</v>
      </c>
      <c r="G34" s="604"/>
      <c r="H34" s="595"/>
      <c r="I34" s="596"/>
      <c r="J34" s="596"/>
      <c r="K34" s="596"/>
      <c r="L34" s="596"/>
      <c r="M34" s="596"/>
      <c r="N34" s="596"/>
      <c r="O34" s="596"/>
      <c r="P34" s="596"/>
      <c r="Q34" s="597"/>
      <c r="R34" s="193"/>
      <c r="S34" s="302"/>
      <c r="T34" s="302"/>
      <c r="U34" s="302"/>
      <c r="X34" s="302"/>
      <c r="Y34" s="302"/>
    </row>
    <row r="35" spans="1:25" ht="22.5" customHeight="1">
      <c r="A35" s="204"/>
      <c r="B35" s="617" t="s">
        <v>330</v>
      </c>
      <c r="C35" s="618"/>
      <c r="D35" s="619"/>
      <c r="E35" s="626" t="s">
        <v>193</v>
      </c>
      <c r="F35" s="603" t="str">
        <f>参照ﾃﾞｰﾀ!AL10</f>
        <v>テティス</v>
      </c>
      <c r="G35" s="604"/>
      <c r="H35" s="595"/>
      <c r="I35" s="596"/>
      <c r="J35" s="596"/>
      <c r="K35" s="596"/>
      <c r="L35" s="596"/>
      <c r="M35" s="596"/>
      <c r="N35" s="596"/>
      <c r="O35" s="596"/>
      <c r="P35" s="596"/>
      <c r="Q35" s="597"/>
      <c r="R35" s="193"/>
      <c r="S35" s="302"/>
      <c r="T35" s="302"/>
      <c r="U35" s="302"/>
      <c r="X35" s="302"/>
      <c r="Y35" s="302"/>
    </row>
    <row r="36" spans="1:25" ht="15" customHeight="1">
      <c r="A36" s="204"/>
      <c r="B36" s="620"/>
      <c r="C36" s="621"/>
      <c r="D36" s="622"/>
      <c r="E36" s="627"/>
      <c r="F36" s="603"/>
      <c r="G36" s="604"/>
      <c r="H36" s="595"/>
      <c r="I36" s="596"/>
      <c r="J36" s="596"/>
      <c r="K36" s="596"/>
      <c r="L36" s="596"/>
      <c r="M36" s="596"/>
      <c r="N36" s="596"/>
      <c r="O36" s="596"/>
      <c r="P36" s="596"/>
      <c r="Q36" s="597"/>
      <c r="R36" s="193"/>
      <c r="S36" s="302"/>
      <c r="T36" s="302"/>
      <c r="U36" s="302"/>
      <c r="X36" s="302"/>
      <c r="Y36" s="302"/>
    </row>
    <row r="37" spans="1:25" ht="15" customHeight="1">
      <c r="A37" s="204"/>
      <c r="B37" s="620"/>
      <c r="C37" s="621"/>
      <c r="D37" s="622"/>
      <c r="E37" s="288" t="s">
        <v>191</v>
      </c>
      <c r="F37" s="605">
        <v>43331</v>
      </c>
      <c r="G37" s="602"/>
      <c r="H37" s="595"/>
      <c r="I37" s="596"/>
      <c r="J37" s="596"/>
      <c r="K37" s="596"/>
      <c r="L37" s="596"/>
      <c r="M37" s="596"/>
      <c r="N37" s="596"/>
      <c r="O37" s="596"/>
      <c r="P37" s="596"/>
      <c r="Q37" s="597"/>
      <c r="R37" s="193"/>
      <c r="S37" s="302"/>
      <c r="T37" s="302"/>
      <c r="U37" s="302"/>
      <c r="X37" s="302"/>
      <c r="Y37" s="302"/>
    </row>
    <row r="38" spans="1:25" ht="15">
      <c r="A38" s="204"/>
      <c r="B38" s="620"/>
      <c r="C38" s="621"/>
      <c r="D38" s="622"/>
      <c r="E38" s="289" t="s">
        <v>205</v>
      </c>
      <c r="F38" s="603" t="s">
        <v>371</v>
      </c>
      <c r="G38" s="604"/>
      <c r="H38" s="595"/>
      <c r="I38" s="596"/>
      <c r="J38" s="596"/>
      <c r="K38" s="596"/>
      <c r="L38" s="596"/>
      <c r="M38" s="596"/>
      <c r="N38" s="596"/>
      <c r="O38" s="596"/>
      <c r="P38" s="596"/>
      <c r="Q38" s="597"/>
      <c r="R38" s="193"/>
      <c r="S38" s="302"/>
      <c r="T38" s="302"/>
      <c r="U38" s="302"/>
      <c r="X38" s="302"/>
      <c r="Y38" s="302"/>
    </row>
    <row r="39" spans="1:25" ht="30">
      <c r="A39" s="204"/>
      <c r="B39" s="620"/>
      <c r="C39" s="621"/>
      <c r="D39" s="622"/>
      <c r="E39" s="289" t="s">
        <v>192</v>
      </c>
      <c r="F39" s="603" t="str">
        <f>参照ﾃﾞｰﾀ!AL11</f>
        <v>はやとり</v>
      </c>
      <c r="G39" s="604"/>
      <c r="H39" s="595"/>
      <c r="I39" s="596"/>
      <c r="J39" s="596"/>
      <c r="K39" s="596"/>
      <c r="L39" s="596"/>
      <c r="M39" s="596"/>
      <c r="N39" s="596"/>
      <c r="O39" s="596"/>
      <c r="P39" s="596"/>
      <c r="Q39" s="597"/>
      <c r="R39" s="193"/>
      <c r="S39" s="302"/>
      <c r="T39" s="302"/>
      <c r="U39" s="302"/>
      <c r="X39" s="302"/>
      <c r="Y39" s="302"/>
    </row>
    <row r="40" spans="1:25" ht="15">
      <c r="A40" s="204"/>
      <c r="B40" s="620"/>
      <c r="C40" s="621"/>
      <c r="D40" s="622"/>
      <c r="E40" s="289"/>
      <c r="F40" s="603"/>
      <c r="G40" s="604"/>
      <c r="H40" s="595"/>
      <c r="I40" s="596"/>
      <c r="J40" s="596"/>
      <c r="K40" s="596"/>
      <c r="L40" s="596"/>
      <c r="M40" s="596"/>
      <c r="N40" s="596"/>
      <c r="O40" s="596"/>
      <c r="P40" s="596"/>
      <c r="Q40" s="597"/>
      <c r="R40" s="193"/>
      <c r="S40" s="302"/>
      <c r="T40" s="302"/>
      <c r="U40" s="302"/>
      <c r="X40" s="302"/>
      <c r="Y40" s="302"/>
    </row>
    <row r="41" spans="1:25" ht="11.25" customHeight="1" thickBot="1">
      <c r="A41" s="204"/>
      <c r="B41" s="623"/>
      <c r="C41" s="624"/>
      <c r="D41" s="625"/>
      <c r="E41" s="290"/>
      <c r="F41" s="628"/>
      <c r="G41" s="629"/>
      <c r="H41" s="598"/>
      <c r="I41" s="599"/>
      <c r="J41" s="599"/>
      <c r="K41" s="599"/>
      <c r="L41" s="599"/>
      <c r="M41" s="599"/>
      <c r="N41" s="599"/>
      <c r="O41" s="599"/>
      <c r="P41" s="599"/>
      <c r="Q41" s="600"/>
      <c r="R41" s="193"/>
      <c r="S41" s="302"/>
      <c r="T41" s="302"/>
      <c r="U41" s="302"/>
      <c r="V41" s="302"/>
      <c r="W41" s="302"/>
      <c r="X41" s="302"/>
      <c r="Y41" s="302"/>
    </row>
    <row r="42" spans="1:25">
      <c r="A42" s="204"/>
      <c r="B42" s="204"/>
      <c r="C42" s="204"/>
      <c r="D42" s="204"/>
      <c r="E42" s="204"/>
      <c r="F42" s="204"/>
      <c r="G42" s="204"/>
      <c r="H42" s="204"/>
      <c r="I42" s="204"/>
      <c r="J42" s="204"/>
      <c r="K42" s="204"/>
      <c r="L42" s="204"/>
      <c r="M42" s="204"/>
      <c r="N42" s="204"/>
      <c r="O42" s="204"/>
      <c r="P42" s="204"/>
      <c r="Q42" s="204"/>
      <c r="R42" s="204"/>
    </row>
  </sheetData>
  <sheetProtection algorithmName="SHA-512" hashValue="SH0Gl3JYGgIHiJZiT8O5Jc29CKU+1mMK+8r4AnS76hV+mcmjwtIsAeTgRXtUxcX0JTOitubDowDMAVeXdxGaJQ==" saltValue="YcYwp6V9EeX2B6bB4GQ9qw==" spinCount="100000" sheet="1" objects="1" scenarios="1"/>
  <sortState ref="C7:K22">
    <sortCondition ref="K7:K22"/>
  </sortState>
  <mergeCells count="18">
    <mergeCell ref="D2:F2"/>
    <mergeCell ref="E3:I3"/>
    <mergeCell ref="F38:G38"/>
    <mergeCell ref="F39:G39"/>
    <mergeCell ref="F40:G40"/>
    <mergeCell ref="B32:D34"/>
    <mergeCell ref="B35:D41"/>
    <mergeCell ref="E35:E36"/>
    <mergeCell ref="F41:G41"/>
    <mergeCell ref="F33:G33"/>
    <mergeCell ref="F34:G34"/>
    <mergeCell ref="J3:K3"/>
    <mergeCell ref="P5:Q5"/>
    <mergeCell ref="H32:Q41"/>
    <mergeCell ref="F32:G32"/>
    <mergeCell ref="F35:G35"/>
    <mergeCell ref="F36:G36"/>
    <mergeCell ref="F37:G37"/>
  </mergeCells>
  <phoneticPr fontId="3"/>
  <dataValidations count="9">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 type="list" errorStyle="warning" allowBlank="1" showInputMessage="1" showErrorMessage="1" sqref="F38:G38">
      <formula1>コース</formula1>
    </dataValidation>
  </dataValidations>
  <pageMargins left="0.31496062992125984" right="0" top="0.35433070866141736" bottom="0.19685039370078741" header="0" footer="0"/>
  <pageSetup paperSize="9" orientation="landscape" horizontalDpi="4294967293"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6"/>
  <sheetViews>
    <sheetView topLeftCell="P16" zoomScaleNormal="100" workbookViewId="0">
      <selection activeCell="AL16" sqref="AL16"/>
    </sheetView>
  </sheetViews>
  <sheetFormatPr defaultRowHeight="14.25"/>
  <cols>
    <col min="1" max="1" width="2.75" customWidth="1"/>
    <col min="2" max="2" width="3.75" style="7" customWidth="1"/>
    <col min="3" max="3" width="6.125" style="7" customWidth="1"/>
    <col min="4" max="4" width="16.25" style="7" customWidth="1"/>
    <col min="5" max="6" width="7.375" style="7" bestFit="1" customWidth="1"/>
    <col min="7" max="7" width="6.75" style="7" bestFit="1" customWidth="1"/>
    <col min="8" max="8" width="7.5" style="8" customWidth="1"/>
    <col min="9" max="10" width="8.875" style="8" customWidth="1"/>
    <col min="11" max="11" width="5.375" customWidth="1"/>
    <col min="14" max="14" width="7.5" customWidth="1"/>
    <col min="15" max="15" width="3" customWidth="1"/>
    <col min="16" max="16" width="9" customWidth="1"/>
    <col min="17" max="17" width="3.125" customWidth="1"/>
    <col min="18" max="18" width="5.875" customWidth="1"/>
    <col min="19" max="19" width="3.25" customWidth="1"/>
    <col min="20" max="21" width="10.5" customWidth="1"/>
    <col min="22" max="22" width="3.125" customWidth="1"/>
    <col min="23" max="23" width="11.125" customWidth="1"/>
    <col min="24" max="24" width="3" customWidth="1"/>
    <col min="25" max="25" width="17.5" customWidth="1"/>
    <col min="26" max="26" width="2.5" customWidth="1"/>
    <col min="28" max="28" width="2.625" customWidth="1"/>
    <col min="29" max="29" width="6.875" customWidth="1"/>
    <col min="30" max="30" width="2.625" customWidth="1"/>
    <col min="32" max="32" width="2.875" customWidth="1"/>
    <col min="36" max="36" width="11.625" customWidth="1"/>
  </cols>
  <sheetData>
    <row r="1" spans="2:43" ht="18.75">
      <c r="B1" s="174" t="s">
        <v>23</v>
      </c>
      <c r="C1" s="174"/>
      <c r="D1" s="174"/>
      <c r="E1" s="174"/>
      <c r="F1" s="174"/>
      <c r="G1" s="174"/>
      <c r="H1" s="174"/>
      <c r="I1" s="174"/>
      <c r="J1" s="126" t="s">
        <v>322</v>
      </c>
      <c r="L1" s="37" t="s">
        <v>75</v>
      </c>
      <c r="M1" s="36"/>
      <c r="N1" s="36"/>
      <c r="O1" s="36"/>
      <c r="P1" s="38" t="s">
        <v>59</v>
      </c>
      <c r="Q1" s="38"/>
      <c r="R1" s="38" t="s">
        <v>61</v>
      </c>
      <c r="S1" s="38"/>
      <c r="T1" s="38" t="s">
        <v>85</v>
      </c>
      <c r="U1" s="38"/>
      <c r="V1" s="38"/>
      <c r="W1" s="38" t="s">
        <v>57</v>
      </c>
      <c r="X1" s="38"/>
      <c r="Y1" s="39" t="s">
        <v>64</v>
      </c>
      <c r="Z1" s="38"/>
      <c r="AA1" s="38" t="s">
        <v>58</v>
      </c>
      <c r="AB1" s="38"/>
      <c r="AC1" s="39" t="s">
        <v>67</v>
      </c>
      <c r="AD1" s="38"/>
      <c r="AE1" s="38" t="s">
        <v>74</v>
      </c>
      <c r="AG1" s="38" t="s">
        <v>79</v>
      </c>
    </row>
    <row r="2" spans="2:43" ht="15.75" thickBot="1">
      <c r="B2" s="4"/>
      <c r="C2" s="4"/>
      <c r="D2" s="4"/>
      <c r="E2" s="6" t="s">
        <v>248</v>
      </c>
      <c r="F2" s="6" t="s">
        <v>249</v>
      </c>
      <c r="G2" s="6" t="s">
        <v>250</v>
      </c>
      <c r="H2" s="6" t="s">
        <v>248</v>
      </c>
      <c r="I2" s="6" t="s">
        <v>249</v>
      </c>
      <c r="J2" s="6" t="s">
        <v>250</v>
      </c>
      <c r="L2" t="s">
        <v>272</v>
      </c>
      <c r="P2" s="70"/>
      <c r="T2" s="63" t="s">
        <v>266</v>
      </c>
      <c r="U2" s="63"/>
      <c r="AI2" t="str">
        <f>T2</f>
        <v>2018年</v>
      </c>
    </row>
    <row r="3" spans="2:43" ht="15">
      <c r="B3" s="5"/>
      <c r="C3" s="5" t="s">
        <v>24</v>
      </c>
      <c r="D3" s="5" t="s">
        <v>246</v>
      </c>
      <c r="E3" s="5" t="s">
        <v>247</v>
      </c>
      <c r="F3" s="5" t="s">
        <v>247</v>
      </c>
      <c r="G3" s="5" t="s">
        <v>247</v>
      </c>
      <c r="H3" s="6" t="s">
        <v>263</v>
      </c>
      <c r="I3" s="6" t="s">
        <v>263</v>
      </c>
      <c r="J3" s="6" t="s">
        <v>263</v>
      </c>
      <c r="L3" s="10" t="s">
        <v>53</v>
      </c>
      <c r="M3" s="67" t="s">
        <v>86</v>
      </c>
      <c r="N3" s="60" t="s">
        <v>79</v>
      </c>
      <c r="O3" s="18"/>
      <c r="P3" s="34" t="s">
        <v>60</v>
      </c>
      <c r="Q3" s="18"/>
      <c r="R3" s="17" t="s">
        <v>54</v>
      </c>
      <c r="T3" s="17" t="s">
        <v>85</v>
      </c>
      <c r="U3" s="60" t="s">
        <v>79</v>
      </c>
      <c r="W3" s="27" t="s">
        <v>62</v>
      </c>
      <c r="Y3" s="17" t="s">
        <v>64</v>
      </c>
      <c r="AA3" s="13" t="s">
        <v>56</v>
      </c>
      <c r="AC3" s="17" t="s">
        <v>68</v>
      </c>
      <c r="AE3" s="40" t="s">
        <v>74</v>
      </c>
      <c r="AG3" s="44" t="s">
        <v>13</v>
      </c>
      <c r="AI3" s="102" t="s">
        <v>142</v>
      </c>
      <c r="AJ3" s="103" t="s">
        <v>143</v>
      </c>
      <c r="AK3" s="103" t="s">
        <v>89</v>
      </c>
      <c r="AL3" s="103" t="s">
        <v>135</v>
      </c>
      <c r="AM3" s="103" t="s">
        <v>136</v>
      </c>
      <c r="AN3" s="103" t="s">
        <v>144</v>
      </c>
      <c r="AO3" s="185" t="s">
        <v>145</v>
      </c>
      <c r="AP3" s="189" t="s">
        <v>300</v>
      </c>
      <c r="AQ3" s="189" t="s">
        <v>301</v>
      </c>
    </row>
    <row r="4" spans="2:43" ht="15.75" thickBot="1">
      <c r="B4" s="5">
        <v>1</v>
      </c>
      <c r="C4" s="143">
        <v>6793</v>
      </c>
      <c r="D4" s="147" t="s">
        <v>251</v>
      </c>
      <c r="E4" s="152">
        <v>10.86</v>
      </c>
      <c r="F4" s="153">
        <v>10.61</v>
      </c>
      <c r="G4" s="154">
        <v>10.23</v>
      </c>
      <c r="H4" s="155">
        <v>880.5</v>
      </c>
      <c r="I4" s="156">
        <v>549.1</v>
      </c>
      <c r="J4" s="157">
        <v>486.1</v>
      </c>
      <c r="K4" s="133"/>
      <c r="L4" s="11" t="s">
        <v>49</v>
      </c>
      <c r="M4" s="59">
        <v>14.2</v>
      </c>
      <c r="N4" s="12" t="s">
        <v>80</v>
      </c>
      <c r="P4" s="66" t="s">
        <v>266</v>
      </c>
      <c r="R4" s="16" t="s">
        <v>176</v>
      </c>
      <c r="T4" s="64">
        <v>43121</v>
      </c>
      <c r="U4" s="12" t="s">
        <v>80</v>
      </c>
      <c r="W4" s="28" t="s">
        <v>230</v>
      </c>
      <c r="Y4" s="14" t="s">
        <v>65</v>
      </c>
      <c r="AA4" s="69" t="s">
        <v>88</v>
      </c>
      <c r="AC4" s="16" t="s">
        <v>69</v>
      </c>
      <c r="AE4" s="41">
        <v>0.33333333333333331</v>
      </c>
      <c r="AG4" s="42" t="s">
        <v>80</v>
      </c>
      <c r="AI4" s="104" t="str">
        <f>W4</f>
        <v>＃512</v>
      </c>
      <c r="AJ4" s="99">
        <f>T4</f>
        <v>43121</v>
      </c>
      <c r="AK4" s="59" t="s">
        <v>229</v>
      </c>
      <c r="AL4" s="137" t="s">
        <v>297</v>
      </c>
      <c r="AM4" s="137" t="s">
        <v>298</v>
      </c>
      <c r="AN4" s="183"/>
      <c r="AO4" s="186">
        <v>0.41666666666666669</v>
      </c>
      <c r="AP4" s="190">
        <v>0.52083333333333337</v>
      </c>
      <c r="AQ4" s="43" t="str">
        <f>U4</f>
        <v>MAX=20</v>
      </c>
    </row>
    <row r="5" spans="2:43" ht="15.75" thickBot="1">
      <c r="B5" s="5">
        <v>2</v>
      </c>
      <c r="C5" s="143">
        <v>3663</v>
      </c>
      <c r="D5" s="148" t="s">
        <v>252</v>
      </c>
      <c r="E5" s="158">
        <v>11.55</v>
      </c>
      <c r="F5" s="159">
        <v>10.55</v>
      </c>
      <c r="G5" s="160">
        <v>10.119999999999999</v>
      </c>
      <c r="H5" s="161">
        <v>862.3</v>
      </c>
      <c r="I5" s="162">
        <v>550.1</v>
      </c>
      <c r="J5" s="163">
        <v>488.2</v>
      </c>
      <c r="K5" s="133"/>
      <c r="L5" s="11" t="s">
        <v>52</v>
      </c>
      <c r="M5" s="59">
        <v>21.5</v>
      </c>
      <c r="N5" s="12" t="s">
        <v>84</v>
      </c>
      <c r="R5" s="16" t="s">
        <v>194</v>
      </c>
      <c r="T5" s="64">
        <v>43149</v>
      </c>
      <c r="U5" s="12" t="s">
        <v>302</v>
      </c>
      <c r="W5" s="28" t="s">
        <v>231</v>
      </c>
      <c r="Y5" s="14" t="s">
        <v>66</v>
      </c>
      <c r="AA5" s="15"/>
      <c r="AC5" s="16" t="s">
        <v>70</v>
      </c>
      <c r="AE5" s="41">
        <v>0.35416666666666669</v>
      </c>
      <c r="AG5" s="42" t="s">
        <v>81</v>
      </c>
      <c r="AI5" s="104" t="str">
        <f t="shared" ref="AI5:AI16" si="0">W5</f>
        <v>＃513</v>
      </c>
      <c r="AJ5" s="99">
        <f t="shared" ref="AJ5:AJ16" si="1">T5</f>
        <v>43149</v>
      </c>
      <c r="AK5" s="9" t="s">
        <v>286</v>
      </c>
      <c r="AL5" s="137" t="s">
        <v>38</v>
      </c>
      <c r="AM5" s="138"/>
      <c r="AN5" s="183"/>
      <c r="AO5" s="186">
        <v>0.4375</v>
      </c>
      <c r="AP5" s="190">
        <v>0.625</v>
      </c>
      <c r="AQ5" s="43" t="str">
        <f t="shared" ref="AQ5:AQ16" si="2">U5</f>
        <v>MAX=20</v>
      </c>
    </row>
    <row r="6" spans="2:43" ht="15.75" thickBot="1">
      <c r="B6" s="5">
        <v>3</v>
      </c>
      <c r="C6" s="128">
        <v>4010</v>
      </c>
      <c r="D6" s="148" t="s">
        <v>152</v>
      </c>
      <c r="E6" s="158">
        <v>10.47</v>
      </c>
      <c r="F6" s="159">
        <v>10.24</v>
      </c>
      <c r="G6" s="160">
        <v>10.039999999999999</v>
      </c>
      <c r="H6" s="161">
        <v>891.5</v>
      </c>
      <c r="I6" s="162">
        <v>555.9</v>
      </c>
      <c r="J6" s="163">
        <v>489.8</v>
      </c>
      <c r="K6" s="133"/>
      <c r="L6" s="11" t="s">
        <v>50</v>
      </c>
      <c r="M6" s="59">
        <v>11.3</v>
      </c>
      <c r="N6" s="12" t="s">
        <v>81</v>
      </c>
      <c r="R6" s="16" t="s">
        <v>195</v>
      </c>
      <c r="T6" s="64">
        <v>43177</v>
      </c>
      <c r="U6" s="12" t="s">
        <v>81</v>
      </c>
      <c r="W6" s="28" t="s">
        <v>232</v>
      </c>
      <c r="Y6" s="15"/>
      <c r="AC6" s="16" t="s">
        <v>71</v>
      </c>
      <c r="AE6" s="41">
        <v>0.375</v>
      </c>
      <c r="AG6" s="42" t="s">
        <v>83</v>
      </c>
      <c r="AI6" s="104" t="str">
        <f t="shared" si="0"/>
        <v>＃514</v>
      </c>
      <c r="AJ6" s="99">
        <f t="shared" si="1"/>
        <v>43177</v>
      </c>
      <c r="AK6" s="59" t="s">
        <v>287</v>
      </c>
      <c r="AL6" s="59" t="s">
        <v>303</v>
      </c>
      <c r="AM6" s="138"/>
      <c r="AN6" s="183"/>
      <c r="AO6" s="186">
        <v>0.41666666666666669</v>
      </c>
      <c r="AP6" s="190">
        <v>0.66666666666666663</v>
      </c>
      <c r="AQ6" s="43" t="str">
        <f t="shared" si="2"/>
        <v>MAX=30</v>
      </c>
    </row>
    <row r="7" spans="2:43" ht="15.75" thickBot="1">
      <c r="B7" s="5">
        <v>4</v>
      </c>
      <c r="C7" s="129">
        <v>380</v>
      </c>
      <c r="D7" s="149" t="s">
        <v>153</v>
      </c>
      <c r="E7" s="158">
        <v>10.44</v>
      </c>
      <c r="F7" s="159">
        <v>10.23</v>
      </c>
      <c r="G7" s="160">
        <v>9.94</v>
      </c>
      <c r="H7" s="161">
        <v>892.3</v>
      </c>
      <c r="I7" s="162">
        <v>556.20000000000005</v>
      </c>
      <c r="J7" s="163">
        <v>491.8</v>
      </c>
      <c r="K7" s="133"/>
      <c r="L7" s="11" t="s">
        <v>51</v>
      </c>
      <c r="M7" s="59">
        <v>23.4</v>
      </c>
      <c r="N7" s="12" t="s">
        <v>81</v>
      </c>
      <c r="R7" s="16" t="s">
        <v>196</v>
      </c>
      <c r="T7" s="64">
        <v>43205</v>
      </c>
      <c r="U7" s="12" t="s">
        <v>80</v>
      </c>
      <c r="W7" s="28" t="s">
        <v>233</v>
      </c>
      <c r="AC7" s="29"/>
      <c r="AE7" s="41">
        <v>0.39583333333333331</v>
      </c>
      <c r="AG7" s="43"/>
      <c r="AI7" s="104" t="str">
        <f t="shared" si="0"/>
        <v>＃515</v>
      </c>
      <c r="AJ7" s="99">
        <f t="shared" si="1"/>
        <v>43205</v>
      </c>
      <c r="AK7" s="59" t="s">
        <v>288</v>
      </c>
      <c r="AL7" s="137" t="s">
        <v>308</v>
      </c>
      <c r="AM7" s="138"/>
      <c r="AN7" s="183"/>
      <c r="AO7" s="186">
        <v>0.4375</v>
      </c>
      <c r="AP7" s="190">
        <v>0.66666666666666663</v>
      </c>
      <c r="AQ7" s="43" t="str">
        <f t="shared" si="2"/>
        <v>MAX=20</v>
      </c>
    </row>
    <row r="8" spans="2:43" ht="15">
      <c r="B8" s="5">
        <v>5</v>
      </c>
      <c r="C8" s="127">
        <v>5752</v>
      </c>
      <c r="D8" s="149" t="s">
        <v>45</v>
      </c>
      <c r="E8" s="158">
        <v>10.72</v>
      </c>
      <c r="F8" s="159">
        <v>10.18</v>
      </c>
      <c r="G8" s="160">
        <v>9.92</v>
      </c>
      <c r="H8" s="161">
        <v>884.3</v>
      </c>
      <c r="I8" s="162">
        <v>557</v>
      </c>
      <c r="J8" s="163">
        <v>492.1</v>
      </c>
      <c r="K8" s="133"/>
      <c r="L8" s="11" t="s">
        <v>271</v>
      </c>
      <c r="M8" s="182">
        <v>6</v>
      </c>
      <c r="N8" s="12" t="s">
        <v>80</v>
      </c>
      <c r="R8" s="16" t="s">
        <v>197</v>
      </c>
      <c r="T8" s="64">
        <v>43240</v>
      </c>
      <c r="U8" s="61" t="s">
        <v>82</v>
      </c>
      <c r="W8" s="28" t="s">
        <v>234</v>
      </c>
      <c r="AE8" s="41">
        <v>0.41666666666666669</v>
      </c>
      <c r="AI8" s="104" t="str">
        <f t="shared" si="0"/>
        <v>＃516</v>
      </c>
      <c r="AJ8" s="99">
        <f t="shared" si="1"/>
        <v>43240</v>
      </c>
      <c r="AK8" s="59" t="s">
        <v>289</v>
      </c>
      <c r="AL8" s="137" t="s">
        <v>309</v>
      </c>
      <c r="AM8" s="138"/>
      <c r="AN8" s="183"/>
      <c r="AO8" s="186">
        <v>0</v>
      </c>
      <c r="AP8" s="191">
        <v>0.625</v>
      </c>
      <c r="AQ8" s="43" t="str">
        <f t="shared" si="2"/>
        <v>MAX=40</v>
      </c>
    </row>
    <row r="9" spans="2:43" ht="15">
      <c r="B9" s="5">
        <v>6</v>
      </c>
      <c r="C9" s="127">
        <v>4600</v>
      </c>
      <c r="D9" s="148" t="s">
        <v>43</v>
      </c>
      <c r="E9" s="158">
        <v>9.86</v>
      </c>
      <c r="F9" s="159">
        <v>10.18</v>
      </c>
      <c r="G9" s="160">
        <v>10.57</v>
      </c>
      <c r="H9" s="161">
        <v>909.9</v>
      </c>
      <c r="I9" s="162">
        <v>557.1</v>
      </c>
      <c r="J9" s="163">
        <v>479.5</v>
      </c>
      <c r="K9" s="133"/>
      <c r="L9" s="11" t="s">
        <v>268</v>
      </c>
      <c r="M9" s="59">
        <v>16.7</v>
      </c>
      <c r="N9" s="12" t="s">
        <v>81</v>
      </c>
      <c r="R9" s="16" t="s">
        <v>198</v>
      </c>
      <c r="T9" s="64">
        <v>43268</v>
      </c>
      <c r="U9" s="12" t="s">
        <v>80</v>
      </c>
      <c r="W9" s="28" t="s">
        <v>235</v>
      </c>
      <c r="AE9" s="41">
        <v>0.4375</v>
      </c>
      <c r="AI9" s="104" t="str">
        <f t="shared" si="0"/>
        <v>＃517</v>
      </c>
      <c r="AJ9" s="99">
        <f t="shared" si="1"/>
        <v>43268</v>
      </c>
      <c r="AK9" s="59" t="s">
        <v>290</v>
      </c>
      <c r="AL9" s="137" t="s">
        <v>304</v>
      </c>
      <c r="AM9" s="138"/>
      <c r="AN9" s="183"/>
      <c r="AO9" s="186">
        <v>0.4375</v>
      </c>
      <c r="AP9" s="190">
        <v>0.66666666666666663</v>
      </c>
      <c r="AQ9" s="43" t="str">
        <f t="shared" si="2"/>
        <v>MAX=20</v>
      </c>
    </row>
    <row r="10" spans="2:43" ht="15">
      <c r="B10" s="5">
        <v>7</v>
      </c>
      <c r="C10" s="127"/>
      <c r="D10" s="148" t="s">
        <v>253</v>
      </c>
      <c r="E10" s="158">
        <v>10.3</v>
      </c>
      <c r="F10" s="159">
        <v>10.11</v>
      </c>
      <c r="G10" s="160">
        <v>9.9</v>
      </c>
      <c r="H10" s="161">
        <v>896.5</v>
      </c>
      <c r="I10" s="162">
        <v>558.5</v>
      </c>
      <c r="J10" s="163">
        <v>492.6</v>
      </c>
      <c r="K10" s="133"/>
      <c r="L10" s="11" t="s">
        <v>269</v>
      </c>
      <c r="M10" s="59">
        <v>18.600000000000001</v>
      </c>
      <c r="N10" s="12" t="s">
        <v>80</v>
      </c>
      <c r="R10" s="16" t="s">
        <v>199</v>
      </c>
      <c r="T10" s="64">
        <v>43296</v>
      </c>
      <c r="U10" s="12" t="s">
        <v>80</v>
      </c>
      <c r="W10" s="28" t="s">
        <v>236</v>
      </c>
      <c r="AE10" s="41">
        <v>0.4513888888888889</v>
      </c>
      <c r="AI10" s="104" t="str">
        <f t="shared" si="0"/>
        <v>＃518</v>
      </c>
      <c r="AJ10" s="99">
        <f>T10</f>
        <v>43296</v>
      </c>
      <c r="AK10" s="59" t="s">
        <v>291</v>
      </c>
      <c r="AL10" s="137" t="s">
        <v>153</v>
      </c>
      <c r="AM10" s="138"/>
      <c r="AN10" s="183"/>
      <c r="AO10" s="187"/>
      <c r="AP10" s="43"/>
      <c r="AQ10" s="43" t="str">
        <f t="shared" si="2"/>
        <v>MAX=20</v>
      </c>
    </row>
    <row r="11" spans="2:43" ht="15">
      <c r="B11" s="5">
        <v>8</v>
      </c>
      <c r="C11" s="127">
        <v>321</v>
      </c>
      <c r="D11" s="148" t="s">
        <v>30</v>
      </c>
      <c r="E11" s="158">
        <v>10.15</v>
      </c>
      <c r="F11" s="159">
        <v>9.51</v>
      </c>
      <c r="G11" s="160">
        <v>9.44</v>
      </c>
      <c r="H11" s="161">
        <v>900.8</v>
      </c>
      <c r="I11" s="162">
        <v>570.5</v>
      </c>
      <c r="J11" s="163">
        <v>502.2</v>
      </c>
      <c r="K11" s="133" t="s">
        <v>380</v>
      </c>
      <c r="L11" s="21" t="s">
        <v>48</v>
      </c>
      <c r="M11" s="59">
        <v>47.4</v>
      </c>
      <c r="N11" s="61" t="s">
        <v>82</v>
      </c>
      <c r="R11" s="16" t="s">
        <v>200</v>
      </c>
      <c r="T11" s="64">
        <v>43331</v>
      </c>
      <c r="U11" s="12" t="s">
        <v>81</v>
      </c>
      <c r="W11" s="28" t="s">
        <v>237</v>
      </c>
      <c r="AE11" s="41">
        <v>0.47916666666666669</v>
      </c>
      <c r="AI11" s="104" t="str">
        <f t="shared" si="0"/>
        <v>＃519</v>
      </c>
      <c r="AJ11" s="99">
        <f t="shared" si="1"/>
        <v>43331</v>
      </c>
      <c r="AK11" s="59" t="s">
        <v>292</v>
      </c>
      <c r="AL11" s="137" t="s">
        <v>29</v>
      </c>
      <c r="AM11" s="138"/>
      <c r="AN11" s="183"/>
      <c r="AO11" s="186">
        <v>0.39583333333333331</v>
      </c>
      <c r="AP11" s="190">
        <v>0.66666666666666663</v>
      </c>
      <c r="AQ11" s="43" t="str">
        <f t="shared" si="2"/>
        <v>MAX=30</v>
      </c>
    </row>
    <row r="12" spans="2:43" ht="15">
      <c r="B12" s="5">
        <v>9</v>
      </c>
      <c r="C12" s="127">
        <v>1733</v>
      </c>
      <c r="D12" s="148" t="s">
        <v>146</v>
      </c>
      <c r="E12" s="158">
        <v>9.67</v>
      </c>
      <c r="F12" s="159">
        <v>9.44</v>
      </c>
      <c r="G12" s="160">
        <v>9.35</v>
      </c>
      <c r="H12" s="161">
        <v>915.7</v>
      </c>
      <c r="I12" s="162">
        <v>572.1</v>
      </c>
      <c r="J12" s="163">
        <v>504.3</v>
      </c>
      <c r="K12" s="133"/>
      <c r="L12" s="21" t="s">
        <v>63</v>
      </c>
      <c r="M12" s="43">
        <v>26.6</v>
      </c>
      <c r="N12" s="35"/>
      <c r="R12" s="16" t="s">
        <v>201</v>
      </c>
      <c r="T12" s="64">
        <v>43717</v>
      </c>
      <c r="U12" s="35"/>
      <c r="W12" s="28" t="s">
        <v>238</v>
      </c>
      <c r="AE12" s="41">
        <v>0</v>
      </c>
      <c r="AI12" s="104" t="str">
        <f t="shared" si="0"/>
        <v>＃520</v>
      </c>
      <c r="AJ12" s="99">
        <f t="shared" si="1"/>
        <v>43717</v>
      </c>
      <c r="AK12" s="59" t="s">
        <v>293</v>
      </c>
      <c r="AL12" s="137" t="s">
        <v>305</v>
      </c>
      <c r="AM12" s="138"/>
      <c r="AN12" s="183"/>
      <c r="AO12" s="186"/>
      <c r="AP12" s="43"/>
      <c r="AQ12" s="43">
        <f t="shared" si="2"/>
        <v>0</v>
      </c>
    </row>
    <row r="13" spans="2:43" ht="15">
      <c r="B13" s="5">
        <v>10</v>
      </c>
      <c r="C13" s="127">
        <v>2221</v>
      </c>
      <c r="D13" s="148" t="s">
        <v>37</v>
      </c>
      <c r="E13" s="158">
        <v>9.75</v>
      </c>
      <c r="F13" s="159">
        <v>9.17</v>
      </c>
      <c r="G13" s="160">
        <v>8.93</v>
      </c>
      <c r="H13" s="161">
        <v>913.4</v>
      </c>
      <c r="I13" s="162">
        <v>577.70000000000005</v>
      </c>
      <c r="J13" s="163">
        <v>514</v>
      </c>
      <c r="K13" s="133"/>
      <c r="L13" s="68" t="s">
        <v>87</v>
      </c>
      <c r="M13" s="59">
        <v>11.3</v>
      </c>
      <c r="N13" s="12" t="s">
        <v>81</v>
      </c>
      <c r="R13" s="16" t="s">
        <v>201</v>
      </c>
      <c r="T13" s="64">
        <v>43359</v>
      </c>
      <c r="U13" s="12" t="s">
        <v>81</v>
      </c>
      <c r="W13" s="28" t="s">
        <v>239</v>
      </c>
      <c r="AE13" s="41">
        <v>0.38194444444444442</v>
      </c>
      <c r="AI13" s="104" t="str">
        <f t="shared" si="0"/>
        <v>＃521</v>
      </c>
      <c r="AJ13" s="99">
        <f t="shared" si="1"/>
        <v>43359</v>
      </c>
      <c r="AK13" s="59" t="s">
        <v>294</v>
      </c>
      <c r="AL13" s="137" t="s">
        <v>306</v>
      </c>
      <c r="AM13" s="137" t="s">
        <v>310</v>
      </c>
      <c r="AN13" s="137" t="s">
        <v>299</v>
      </c>
      <c r="AO13" s="186">
        <v>0.39583333333333331</v>
      </c>
      <c r="AP13" s="190">
        <v>0.66666666666666663</v>
      </c>
      <c r="AQ13" s="43" t="str">
        <f t="shared" si="2"/>
        <v>MAX=30</v>
      </c>
    </row>
    <row r="14" spans="2:43" ht="15">
      <c r="B14" s="5">
        <v>11</v>
      </c>
      <c r="C14" s="127">
        <v>199</v>
      </c>
      <c r="D14" s="148" t="s">
        <v>28</v>
      </c>
      <c r="E14" s="158">
        <v>9.24</v>
      </c>
      <c r="F14" s="159">
        <v>9.15</v>
      </c>
      <c r="G14" s="160">
        <v>9.1</v>
      </c>
      <c r="H14" s="161">
        <v>930.3</v>
      </c>
      <c r="I14" s="162">
        <v>578.20000000000005</v>
      </c>
      <c r="J14" s="163">
        <v>509.9</v>
      </c>
      <c r="K14" s="133"/>
      <c r="L14" s="68" t="s">
        <v>150</v>
      </c>
      <c r="M14" s="43">
        <v>10</v>
      </c>
      <c r="N14" s="35" t="s">
        <v>80</v>
      </c>
      <c r="R14" s="16" t="s">
        <v>202</v>
      </c>
      <c r="T14" s="64">
        <v>43394</v>
      </c>
      <c r="U14" s="35" t="s">
        <v>80</v>
      </c>
      <c r="W14" s="28" t="s">
        <v>240</v>
      </c>
      <c r="AI14" s="104" t="str">
        <f t="shared" si="0"/>
        <v>＃522</v>
      </c>
      <c r="AJ14" s="99">
        <f t="shared" si="1"/>
        <v>43394</v>
      </c>
      <c r="AK14" s="59" t="s">
        <v>295</v>
      </c>
      <c r="AL14" s="137" t="s">
        <v>25</v>
      </c>
      <c r="AM14" s="138"/>
      <c r="AN14" s="183"/>
      <c r="AO14" s="186">
        <v>0.4375</v>
      </c>
      <c r="AP14" s="190">
        <v>0.66666666666666663</v>
      </c>
      <c r="AQ14" s="43" t="str">
        <f t="shared" si="2"/>
        <v>MAX=20</v>
      </c>
    </row>
    <row r="15" spans="2:43" ht="15">
      <c r="B15" s="5">
        <v>12</v>
      </c>
      <c r="C15" s="127">
        <v>6714</v>
      </c>
      <c r="D15" s="149" t="s">
        <v>154</v>
      </c>
      <c r="E15" s="158">
        <v>9.1300000000000008</v>
      </c>
      <c r="F15" s="159">
        <v>8.94</v>
      </c>
      <c r="G15" s="160">
        <v>8.64</v>
      </c>
      <c r="H15" s="161">
        <v>934.1</v>
      </c>
      <c r="I15" s="162">
        <v>583</v>
      </c>
      <c r="J15" s="163">
        <v>520.9</v>
      </c>
      <c r="K15" s="133"/>
      <c r="L15" s="68" t="s">
        <v>219</v>
      </c>
      <c r="M15" s="43">
        <v>3</v>
      </c>
      <c r="N15" s="12" t="s">
        <v>81</v>
      </c>
      <c r="R15" s="16" t="s">
        <v>203</v>
      </c>
      <c r="T15" s="64">
        <v>43422</v>
      </c>
      <c r="U15" s="12" t="s">
        <v>81</v>
      </c>
      <c r="W15" s="28" t="s">
        <v>241</v>
      </c>
      <c r="AI15" s="104" t="str">
        <f t="shared" si="0"/>
        <v>＃523</v>
      </c>
      <c r="AJ15" s="99">
        <f t="shared" si="1"/>
        <v>43422</v>
      </c>
      <c r="AK15" s="59" t="s">
        <v>296</v>
      </c>
      <c r="AL15" s="137" t="s">
        <v>41</v>
      </c>
      <c r="AM15" s="138"/>
      <c r="AN15" s="183"/>
      <c r="AO15" s="186">
        <v>0.41666666666666669</v>
      </c>
      <c r="AP15" s="190">
        <v>0.625</v>
      </c>
      <c r="AQ15" s="43" t="str">
        <f t="shared" si="2"/>
        <v>MAX=30</v>
      </c>
    </row>
    <row r="16" spans="2:43" ht="15.75" thickBot="1">
      <c r="B16" s="5">
        <v>13</v>
      </c>
      <c r="C16" s="127">
        <v>6735</v>
      </c>
      <c r="D16" s="148" t="s">
        <v>320</v>
      </c>
      <c r="E16" s="158">
        <v>9.77</v>
      </c>
      <c r="F16" s="159">
        <v>8.94</v>
      </c>
      <c r="G16" s="160">
        <v>8.48</v>
      </c>
      <c r="H16" s="161">
        <v>912.7</v>
      </c>
      <c r="I16" s="162">
        <v>583</v>
      </c>
      <c r="J16" s="163">
        <v>524.79999999999995</v>
      </c>
      <c r="K16" s="133"/>
      <c r="L16" s="20" t="s">
        <v>242</v>
      </c>
      <c r="M16" s="62"/>
      <c r="N16" s="19"/>
      <c r="R16" s="16" t="s">
        <v>204</v>
      </c>
      <c r="T16" s="64">
        <v>43450</v>
      </c>
      <c r="U16" s="35" t="s">
        <v>80</v>
      </c>
      <c r="W16" s="28" t="s">
        <v>273</v>
      </c>
      <c r="AI16" s="105" t="str">
        <f t="shared" si="0"/>
        <v>＃524</v>
      </c>
      <c r="AJ16" s="106">
        <f t="shared" si="1"/>
        <v>43450</v>
      </c>
      <c r="AK16" s="139" t="s">
        <v>206</v>
      </c>
      <c r="AL16" s="140" t="s">
        <v>307</v>
      </c>
      <c r="AM16" s="141"/>
      <c r="AN16" s="184"/>
      <c r="AO16" s="188">
        <v>0.4375</v>
      </c>
      <c r="AP16" s="190">
        <v>0.625</v>
      </c>
      <c r="AQ16" s="43" t="str">
        <f t="shared" si="2"/>
        <v>MAX=20</v>
      </c>
    </row>
    <row r="17" spans="2:41" ht="15.75" thickBot="1">
      <c r="B17" s="5">
        <v>14</v>
      </c>
      <c r="C17" s="127">
        <v>120</v>
      </c>
      <c r="D17" s="149" t="s">
        <v>254</v>
      </c>
      <c r="E17" s="158">
        <v>10.73</v>
      </c>
      <c r="F17" s="159">
        <v>8.9</v>
      </c>
      <c r="G17" s="160">
        <v>8.64</v>
      </c>
      <c r="H17" s="161">
        <v>884.1</v>
      </c>
      <c r="I17" s="162">
        <v>583.79999999999995</v>
      </c>
      <c r="J17" s="163">
        <v>520.9</v>
      </c>
      <c r="K17" s="133"/>
      <c r="R17" s="29"/>
      <c r="T17" s="64"/>
      <c r="U17" s="142"/>
      <c r="W17" s="28" t="s">
        <v>274</v>
      </c>
      <c r="AI17" s="98"/>
      <c r="AJ17" s="98"/>
      <c r="AK17" s="98"/>
      <c r="AL17" s="98"/>
      <c r="AM17" s="98"/>
      <c r="AN17" s="98"/>
      <c r="AO17" s="98"/>
    </row>
    <row r="18" spans="2:41" ht="15.75" thickBot="1">
      <c r="B18" s="5">
        <v>15</v>
      </c>
      <c r="C18" s="127">
        <v>2212</v>
      </c>
      <c r="D18" s="148" t="s">
        <v>36</v>
      </c>
      <c r="E18" s="158">
        <v>8.8000000000000007</v>
      </c>
      <c r="F18" s="159">
        <v>8.9</v>
      </c>
      <c r="G18" s="160">
        <v>9.0399999999999991</v>
      </c>
      <c r="H18" s="161">
        <v>945.7</v>
      </c>
      <c r="I18" s="162">
        <v>584</v>
      </c>
      <c r="J18" s="163">
        <v>511.4</v>
      </c>
      <c r="K18" s="133"/>
      <c r="T18" s="65"/>
      <c r="U18" s="142"/>
      <c r="W18" s="28" t="s">
        <v>275</v>
      </c>
      <c r="AI18" s="98"/>
      <c r="AJ18" s="100" t="s">
        <v>147</v>
      </c>
      <c r="AK18" s="98" t="s">
        <v>148</v>
      </c>
      <c r="AL18" s="98"/>
      <c r="AM18" s="98"/>
      <c r="AN18" s="98"/>
      <c r="AO18" s="98"/>
    </row>
    <row r="19" spans="2:41" ht="15">
      <c r="B19" s="5">
        <v>16</v>
      </c>
      <c r="C19" s="127">
        <v>1403</v>
      </c>
      <c r="D19" s="149" t="s">
        <v>155</v>
      </c>
      <c r="E19" s="158">
        <v>8.68</v>
      </c>
      <c r="F19" s="159">
        <v>8.8699999999999992</v>
      </c>
      <c r="G19" s="160">
        <v>8.44</v>
      </c>
      <c r="H19" s="161">
        <v>950.3</v>
      </c>
      <c r="I19" s="162">
        <v>584.70000000000005</v>
      </c>
      <c r="J19" s="163">
        <v>526</v>
      </c>
      <c r="K19" s="133"/>
      <c r="W19" s="28" t="s">
        <v>276</v>
      </c>
    </row>
    <row r="20" spans="2:41" ht="15">
      <c r="B20" s="5">
        <v>17</v>
      </c>
      <c r="C20" s="129">
        <v>5496</v>
      </c>
      <c r="D20" s="148" t="s">
        <v>222</v>
      </c>
      <c r="E20" s="158">
        <v>9.09</v>
      </c>
      <c r="F20" s="159">
        <v>8.64</v>
      </c>
      <c r="G20" s="160">
        <v>8.74</v>
      </c>
      <c r="H20" s="161">
        <v>935.4</v>
      </c>
      <c r="I20" s="162">
        <v>590.1</v>
      </c>
      <c r="J20" s="163">
        <v>518.5</v>
      </c>
      <c r="K20" s="133"/>
      <c r="W20" s="28" t="s">
        <v>277</v>
      </c>
    </row>
    <row r="21" spans="2:41" ht="15">
      <c r="B21" s="5">
        <v>18</v>
      </c>
      <c r="C21" s="129">
        <v>346</v>
      </c>
      <c r="D21" s="148" t="s">
        <v>31</v>
      </c>
      <c r="E21" s="158">
        <v>8.61</v>
      </c>
      <c r="F21" s="159">
        <v>8.58</v>
      </c>
      <c r="G21" s="160">
        <v>8.68</v>
      </c>
      <c r="H21" s="161">
        <v>952.6</v>
      </c>
      <c r="I21" s="162">
        <v>591.5</v>
      </c>
      <c r="J21" s="163">
        <v>519.79999999999995</v>
      </c>
      <c r="K21" s="133"/>
      <c r="W21" s="28" t="s">
        <v>278</v>
      </c>
    </row>
    <row r="22" spans="2:41" ht="15">
      <c r="B22" s="5">
        <v>19</v>
      </c>
      <c r="C22" s="127">
        <v>6766</v>
      </c>
      <c r="D22" s="148" t="s">
        <v>38</v>
      </c>
      <c r="E22" s="158">
        <v>9.0500000000000007</v>
      </c>
      <c r="F22" s="159">
        <v>8.57</v>
      </c>
      <c r="G22" s="160">
        <v>8.58</v>
      </c>
      <c r="H22" s="161">
        <v>936.7</v>
      </c>
      <c r="I22" s="162">
        <v>591.79999999999995</v>
      </c>
      <c r="J22" s="163">
        <v>522.5</v>
      </c>
      <c r="K22" s="133"/>
      <c r="W22" s="28" t="s">
        <v>279</v>
      </c>
    </row>
    <row r="23" spans="2:41" ht="15">
      <c r="B23" s="5">
        <v>20</v>
      </c>
      <c r="C23" s="127">
        <v>150</v>
      </c>
      <c r="D23" s="148" t="s">
        <v>221</v>
      </c>
      <c r="E23" s="158">
        <v>9.06</v>
      </c>
      <c r="F23" s="159">
        <v>8.56</v>
      </c>
      <c r="G23" s="160">
        <v>8.43</v>
      </c>
      <c r="H23" s="161">
        <v>936.4</v>
      </c>
      <c r="I23" s="162">
        <v>591.79999999999995</v>
      </c>
      <c r="J23" s="163">
        <v>526.20000000000005</v>
      </c>
      <c r="K23" s="133"/>
      <c r="W23" s="28" t="s">
        <v>280</v>
      </c>
    </row>
    <row r="24" spans="2:41" ht="15">
      <c r="B24" s="5">
        <v>21</v>
      </c>
      <c r="C24" s="127">
        <v>667</v>
      </c>
      <c r="D24" s="148" t="s">
        <v>33</v>
      </c>
      <c r="E24" s="158">
        <v>8.39</v>
      </c>
      <c r="F24" s="159">
        <v>8.56</v>
      </c>
      <c r="G24" s="160">
        <v>7.99</v>
      </c>
      <c r="H24" s="161">
        <v>961.3</v>
      </c>
      <c r="I24" s="162">
        <v>592</v>
      </c>
      <c r="J24" s="163">
        <v>537.70000000000005</v>
      </c>
      <c r="K24" s="133"/>
      <c r="W24" s="28" t="s">
        <v>281</v>
      </c>
    </row>
    <row r="25" spans="2:41" ht="15">
      <c r="B25" s="5">
        <v>22</v>
      </c>
      <c r="C25" s="127">
        <v>3387</v>
      </c>
      <c r="D25" s="148" t="s">
        <v>156</v>
      </c>
      <c r="E25" s="158">
        <v>9.0299999999999994</v>
      </c>
      <c r="F25" s="159">
        <v>8.51</v>
      </c>
      <c r="G25" s="160">
        <v>8.2899999999999991</v>
      </c>
      <c r="H25" s="161">
        <v>937.5</v>
      </c>
      <c r="I25" s="162">
        <v>593.29999999999995</v>
      </c>
      <c r="J25" s="163">
        <v>529.79999999999995</v>
      </c>
      <c r="K25" s="133"/>
      <c r="W25" s="28" t="s">
        <v>282</v>
      </c>
    </row>
    <row r="26" spans="2:41" ht="15">
      <c r="B26" s="5">
        <v>23</v>
      </c>
      <c r="C26" s="127">
        <v>5854</v>
      </c>
      <c r="D26" s="148" t="s">
        <v>220</v>
      </c>
      <c r="E26" s="158">
        <v>9.02</v>
      </c>
      <c r="F26" s="159">
        <v>8.5</v>
      </c>
      <c r="G26" s="160">
        <v>8.2899999999999991</v>
      </c>
      <c r="H26" s="161">
        <v>937.7</v>
      </c>
      <c r="I26" s="162">
        <v>593.4</v>
      </c>
      <c r="J26" s="163">
        <v>529.79999999999995</v>
      </c>
      <c r="K26" s="133"/>
      <c r="W26" s="28" t="s">
        <v>283</v>
      </c>
    </row>
    <row r="27" spans="2:41" ht="15">
      <c r="B27" s="5">
        <v>24</v>
      </c>
      <c r="C27" s="127">
        <v>1545</v>
      </c>
      <c r="D27" s="148" t="s">
        <v>255</v>
      </c>
      <c r="E27" s="158">
        <v>8.9700000000000006</v>
      </c>
      <c r="F27" s="159">
        <v>8.4600000000000009</v>
      </c>
      <c r="G27" s="160">
        <v>8.1999999999999993</v>
      </c>
      <c r="H27" s="161">
        <v>939.7</v>
      </c>
      <c r="I27" s="162">
        <v>594.29999999999995</v>
      </c>
      <c r="J27" s="163">
        <v>532.1</v>
      </c>
      <c r="K27" s="133"/>
      <c r="W27" s="28" t="s">
        <v>284</v>
      </c>
    </row>
    <row r="28" spans="2:41" ht="15">
      <c r="B28" s="5">
        <v>25</v>
      </c>
      <c r="C28" s="127">
        <v>131</v>
      </c>
      <c r="D28" s="148" t="s">
        <v>25</v>
      </c>
      <c r="E28" s="158">
        <v>8.2899999999999991</v>
      </c>
      <c r="F28" s="159">
        <v>8.31</v>
      </c>
      <c r="G28" s="160">
        <v>8.0500000000000007</v>
      </c>
      <c r="H28" s="161">
        <v>965.1</v>
      </c>
      <c r="I28" s="162">
        <v>598.20000000000005</v>
      </c>
      <c r="J28" s="163">
        <v>536.29999999999995</v>
      </c>
      <c r="K28" s="133"/>
      <c r="W28" s="28" t="s">
        <v>285</v>
      </c>
    </row>
    <row r="29" spans="2:41" ht="15">
      <c r="B29" s="5">
        <v>26</v>
      </c>
      <c r="C29" s="127">
        <v>312</v>
      </c>
      <c r="D29" s="148" t="s">
        <v>29</v>
      </c>
      <c r="E29" s="158">
        <v>8.31</v>
      </c>
      <c r="F29" s="159">
        <v>8.2200000000000006</v>
      </c>
      <c r="G29" s="160">
        <v>8.1300000000000008</v>
      </c>
      <c r="H29" s="161">
        <v>964.4</v>
      </c>
      <c r="I29" s="162">
        <v>600.29999999999995</v>
      </c>
      <c r="J29" s="163">
        <v>534</v>
      </c>
      <c r="K29" s="133"/>
    </row>
    <row r="30" spans="2:41" ht="15">
      <c r="B30" s="5">
        <v>27</v>
      </c>
      <c r="C30" s="127">
        <v>1611</v>
      </c>
      <c r="D30" s="148" t="s">
        <v>321</v>
      </c>
      <c r="E30" s="158">
        <v>8.2100000000000009</v>
      </c>
      <c r="F30" s="159">
        <v>8.15</v>
      </c>
      <c r="G30" s="160">
        <v>7.98</v>
      </c>
      <c r="H30" s="161">
        <v>968.4</v>
      </c>
      <c r="I30" s="162">
        <v>602.20000000000005</v>
      </c>
      <c r="J30" s="163">
        <v>538.1</v>
      </c>
      <c r="K30" s="133"/>
    </row>
    <row r="31" spans="2:41" ht="15">
      <c r="B31" s="5">
        <v>28</v>
      </c>
      <c r="C31" s="127">
        <v>157</v>
      </c>
      <c r="D31" s="148" t="s">
        <v>256</v>
      </c>
      <c r="E31" s="158">
        <v>8.4600000000000009</v>
      </c>
      <c r="F31" s="159">
        <v>8.1199999999999992</v>
      </c>
      <c r="G31" s="160">
        <v>7.9</v>
      </c>
      <c r="H31" s="161">
        <v>958.4</v>
      </c>
      <c r="I31" s="162">
        <v>602.9</v>
      </c>
      <c r="J31" s="163">
        <v>540.29999999999995</v>
      </c>
      <c r="K31" s="133"/>
    </row>
    <row r="32" spans="2:41" ht="15">
      <c r="B32" s="5">
        <v>29</v>
      </c>
      <c r="C32" s="127">
        <v>5755</v>
      </c>
      <c r="D32" s="148" t="s">
        <v>223</v>
      </c>
      <c r="E32" s="158">
        <v>8.25</v>
      </c>
      <c r="F32" s="159">
        <v>8.1</v>
      </c>
      <c r="G32" s="160">
        <v>8.11</v>
      </c>
      <c r="H32" s="161">
        <v>966.8</v>
      </c>
      <c r="I32" s="162">
        <v>603.6</v>
      </c>
      <c r="J32" s="163">
        <v>534.5</v>
      </c>
      <c r="K32" s="133"/>
    </row>
    <row r="33" spans="2:16" ht="15">
      <c r="B33" s="5">
        <v>30</v>
      </c>
      <c r="C33" s="127">
        <v>1555</v>
      </c>
      <c r="D33" s="148" t="s">
        <v>34</v>
      </c>
      <c r="E33" s="158">
        <v>8.0500000000000007</v>
      </c>
      <c r="F33" s="159">
        <v>8.09</v>
      </c>
      <c r="G33" s="160">
        <v>7.92</v>
      </c>
      <c r="H33" s="161">
        <v>974.6</v>
      </c>
      <c r="I33" s="162">
        <v>603.6</v>
      </c>
      <c r="J33" s="163">
        <v>539.79999999999995</v>
      </c>
      <c r="K33" s="133"/>
    </row>
    <row r="34" spans="2:16" ht="15">
      <c r="B34" s="5">
        <v>31</v>
      </c>
      <c r="C34" s="136">
        <v>164</v>
      </c>
      <c r="D34" s="148" t="s">
        <v>26</v>
      </c>
      <c r="E34" s="158">
        <v>7.97</v>
      </c>
      <c r="F34" s="159">
        <v>8.07</v>
      </c>
      <c r="G34" s="160">
        <v>7.84</v>
      </c>
      <c r="H34" s="161">
        <v>978</v>
      </c>
      <c r="I34" s="162">
        <v>604.4</v>
      </c>
      <c r="J34" s="163">
        <v>542.20000000000005</v>
      </c>
      <c r="K34" s="133"/>
    </row>
    <row r="35" spans="2:16" ht="15">
      <c r="B35" s="5">
        <v>32</v>
      </c>
      <c r="C35" s="130">
        <v>381</v>
      </c>
      <c r="D35" s="150" t="s">
        <v>32</v>
      </c>
      <c r="E35" s="164">
        <v>8.09</v>
      </c>
      <c r="F35" s="165">
        <v>8.0299999999999994</v>
      </c>
      <c r="G35" s="166">
        <v>8.26</v>
      </c>
      <c r="H35" s="167">
        <v>973</v>
      </c>
      <c r="I35" s="168">
        <v>605.20000000000005</v>
      </c>
      <c r="J35" s="169">
        <v>530.70000000000005</v>
      </c>
      <c r="K35" s="133"/>
    </row>
    <row r="36" spans="2:16" ht="15">
      <c r="B36" s="5">
        <v>33</v>
      </c>
      <c r="C36" s="127">
        <v>4832</v>
      </c>
      <c r="D36" s="151" t="s">
        <v>158</v>
      </c>
      <c r="E36" s="170">
        <v>8.44</v>
      </c>
      <c r="F36" s="171">
        <v>8.02</v>
      </c>
      <c r="G36" s="172">
        <v>7.91</v>
      </c>
      <c r="H36" s="161">
        <v>959.1</v>
      </c>
      <c r="I36" s="162">
        <v>605.6</v>
      </c>
      <c r="J36" s="173">
        <v>540</v>
      </c>
      <c r="K36" s="133"/>
    </row>
    <row r="37" spans="2:16" ht="15">
      <c r="B37" s="5">
        <v>34</v>
      </c>
      <c r="C37" s="127">
        <v>360</v>
      </c>
      <c r="D37" s="147" t="s">
        <v>157</v>
      </c>
      <c r="E37" s="152">
        <v>7.93</v>
      </c>
      <c r="F37" s="153">
        <v>8</v>
      </c>
      <c r="G37" s="154">
        <v>7.95</v>
      </c>
      <c r="H37" s="155">
        <v>979.7</v>
      </c>
      <c r="I37" s="156">
        <v>606.20000000000005</v>
      </c>
      <c r="J37" s="157">
        <v>538.79999999999995</v>
      </c>
      <c r="K37" s="133"/>
    </row>
    <row r="38" spans="2:16" ht="15">
      <c r="B38" s="5">
        <v>35</v>
      </c>
      <c r="C38" s="127"/>
      <c r="D38" s="148" t="s">
        <v>159</v>
      </c>
      <c r="E38" s="158">
        <v>8.33</v>
      </c>
      <c r="F38" s="159">
        <v>7.89</v>
      </c>
      <c r="G38" s="160">
        <v>7.92</v>
      </c>
      <c r="H38" s="161">
        <v>963.7</v>
      </c>
      <c r="I38" s="162">
        <v>609</v>
      </c>
      <c r="J38" s="163">
        <v>539.9</v>
      </c>
      <c r="K38" s="133"/>
    </row>
    <row r="39" spans="2:16" ht="15">
      <c r="B39" s="5">
        <v>36</v>
      </c>
      <c r="C39" s="134">
        <v>6696</v>
      </c>
      <c r="D39" s="148" t="s">
        <v>160</v>
      </c>
      <c r="E39" s="158">
        <v>7.81</v>
      </c>
      <c r="F39" s="159">
        <v>7.65</v>
      </c>
      <c r="G39" s="160">
        <v>7.75</v>
      </c>
      <c r="H39" s="161">
        <v>985.1</v>
      </c>
      <c r="I39" s="162">
        <v>615.79999999999995</v>
      </c>
      <c r="J39" s="163">
        <v>544.79999999999995</v>
      </c>
      <c r="K39" s="133"/>
    </row>
    <row r="40" spans="2:16" ht="15">
      <c r="B40" s="5">
        <v>37</v>
      </c>
      <c r="C40" s="127">
        <v>1911</v>
      </c>
      <c r="D40" s="148" t="s">
        <v>161</v>
      </c>
      <c r="E40" s="158">
        <v>7.78</v>
      </c>
      <c r="F40" s="159">
        <v>7.62</v>
      </c>
      <c r="G40" s="160">
        <v>7.66</v>
      </c>
      <c r="H40" s="161">
        <v>986.3</v>
      </c>
      <c r="I40" s="162">
        <v>616.4</v>
      </c>
      <c r="J40" s="163">
        <v>547.20000000000005</v>
      </c>
      <c r="K40" s="133"/>
    </row>
    <row r="41" spans="2:16" ht="15">
      <c r="B41" s="5">
        <v>38</v>
      </c>
      <c r="C41" s="129"/>
      <c r="D41" s="582" t="s">
        <v>41</v>
      </c>
      <c r="E41" s="583">
        <v>7.82</v>
      </c>
      <c r="F41" s="584">
        <v>7.54</v>
      </c>
      <c r="G41" s="585">
        <v>7.52</v>
      </c>
      <c r="H41" s="586">
        <v>984.4</v>
      </c>
      <c r="I41" s="587">
        <v>618.70000000000005</v>
      </c>
      <c r="J41" s="588">
        <v>551.5</v>
      </c>
      <c r="K41" s="133"/>
      <c r="L41" t="s">
        <v>449</v>
      </c>
    </row>
    <row r="42" spans="2:16" ht="15">
      <c r="B42" s="5">
        <v>39</v>
      </c>
      <c r="C42" s="127"/>
      <c r="D42" s="148" t="s">
        <v>162</v>
      </c>
      <c r="E42" s="158">
        <v>7.63</v>
      </c>
      <c r="F42" s="159">
        <v>7.31</v>
      </c>
      <c r="G42" s="160">
        <v>7.15</v>
      </c>
      <c r="H42" s="161">
        <v>992.6</v>
      </c>
      <c r="I42" s="162">
        <v>625.70000000000005</v>
      </c>
      <c r="J42" s="163">
        <v>562.79999999999995</v>
      </c>
      <c r="K42" s="133"/>
    </row>
    <row r="43" spans="2:16" ht="15">
      <c r="B43" s="5">
        <v>40</v>
      </c>
      <c r="C43" s="127">
        <v>178</v>
      </c>
      <c r="D43" s="148" t="s">
        <v>27</v>
      </c>
      <c r="E43" s="158">
        <v>7.33</v>
      </c>
      <c r="F43" s="159">
        <v>7.17</v>
      </c>
      <c r="G43" s="160">
        <v>7.07</v>
      </c>
      <c r="H43" s="161">
        <v>1006.5</v>
      </c>
      <c r="I43" s="162">
        <v>629.9</v>
      </c>
      <c r="J43" s="163">
        <v>565.5</v>
      </c>
      <c r="K43" s="133"/>
    </row>
    <row r="44" spans="2:16" ht="15">
      <c r="B44" s="5">
        <v>41</v>
      </c>
      <c r="C44" s="127">
        <v>319</v>
      </c>
      <c r="D44" s="148" t="s">
        <v>163</v>
      </c>
      <c r="E44" s="158">
        <v>7.18</v>
      </c>
      <c r="F44" s="159">
        <v>6.99</v>
      </c>
      <c r="G44" s="160">
        <v>6.88</v>
      </c>
      <c r="H44" s="161">
        <v>1013.4</v>
      </c>
      <c r="I44" s="162">
        <v>635.5</v>
      </c>
      <c r="J44" s="163">
        <v>571.9</v>
      </c>
      <c r="K44" s="133"/>
    </row>
    <row r="45" spans="2:16" ht="15">
      <c r="B45" s="5">
        <v>42</v>
      </c>
      <c r="C45" s="127">
        <v>1985</v>
      </c>
      <c r="D45" s="148" t="s">
        <v>35</v>
      </c>
      <c r="E45" s="158">
        <v>7.33</v>
      </c>
      <c r="F45" s="159">
        <v>6.97</v>
      </c>
      <c r="G45" s="160">
        <v>6.85</v>
      </c>
      <c r="H45" s="161">
        <v>1006.4</v>
      </c>
      <c r="I45" s="162">
        <v>636</v>
      </c>
      <c r="J45" s="163">
        <v>572.79999999999995</v>
      </c>
      <c r="K45" s="133"/>
    </row>
    <row r="46" spans="2:16" ht="15">
      <c r="B46" s="5">
        <v>43</v>
      </c>
      <c r="C46" s="127">
        <v>4323</v>
      </c>
      <c r="D46" s="148" t="s">
        <v>40</v>
      </c>
      <c r="E46" s="158">
        <v>7.23</v>
      </c>
      <c r="F46" s="159">
        <v>6.95</v>
      </c>
      <c r="G46" s="160">
        <v>7.45</v>
      </c>
      <c r="H46" s="161">
        <v>1010.8</v>
      </c>
      <c r="I46" s="162">
        <v>636.6</v>
      </c>
      <c r="J46" s="163">
        <v>553.4</v>
      </c>
      <c r="K46" s="133"/>
      <c r="P46" t="s">
        <v>224</v>
      </c>
    </row>
    <row r="47" spans="2:16" ht="15">
      <c r="B47" s="5">
        <v>44</v>
      </c>
      <c r="C47" s="127">
        <v>162</v>
      </c>
      <c r="D47" s="148" t="s">
        <v>257</v>
      </c>
      <c r="E47" s="158">
        <v>6.96</v>
      </c>
      <c r="F47" s="159">
        <v>6.84</v>
      </c>
      <c r="G47" s="160">
        <v>6.95</v>
      </c>
      <c r="H47" s="161">
        <v>1024.3</v>
      </c>
      <c r="I47" s="162">
        <v>640.4</v>
      </c>
      <c r="J47" s="163">
        <v>569.4</v>
      </c>
      <c r="K47" s="133"/>
    </row>
    <row r="48" spans="2:16" ht="15">
      <c r="B48" s="5">
        <v>45</v>
      </c>
      <c r="C48" s="127">
        <v>1101</v>
      </c>
      <c r="D48" s="148" t="s">
        <v>164</v>
      </c>
      <c r="E48" s="158">
        <v>6.88</v>
      </c>
      <c r="F48" s="159">
        <v>6.76</v>
      </c>
      <c r="G48" s="160">
        <v>6.39</v>
      </c>
      <c r="H48" s="161">
        <v>1028.2</v>
      </c>
      <c r="I48" s="162">
        <v>643.1</v>
      </c>
      <c r="J48" s="163">
        <v>589.70000000000005</v>
      </c>
      <c r="K48" s="133"/>
    </row>
    <row r="49" spans="2:15" ht="15">
      <c r="B49" s="5">
        <v>46</v>
      </c>
      <c r="C49" s="127"/>
      <c r="D49" s="149" t="s">
        <v>258</v>
      </c>
      <c r="E49" s="158">
        <v>6.94</v>
      </c>
      <c r="F49" s="159">
        <v>6.72</v>
      </c>
      <c r="G49" s="160">
        <v>6.49</v>
      </c>
      <c r="H49" s="161">
        <v>1025.0999999999999</v>
      </c>
      <c r="I49" s="162">
        <v>644.20000000000005</v>
      </c>
      <c r="J49" s="163">
        <v>585.79999999999995</v>
      </c>
      <c r="K49" s="133"/>
    </row>
    <row r="50" spans="2:15" ht="15">
      <c r="B50" s="5">
        <v>47</v>
      </c>
      <c r="C50" s="130"/>
      <c r="D50" s="148" t="s">
        <v>46</v>
      </c>
      <c r="E50" s="158">
        <v>7.01</v>
      </c>
      <c r="F50" s="159">
        <v>6.7</v>
      </c>
      <c r="G50" s="160">
        <v>6.85</v>
      </c>
      <c r="H50" s="161">
        <v>1021.8</v>
      </c>
      <c r="I50" s="162">
        <v>644.79999999999995</v>
      </c>
      <c r="J50" s="163">
        <v>572.79999999999995</v>
      </c>
      <c r="K50" s="133"/>
    </row>
    <row r="51" spans="2:15" ht="15">
      <c r="B51" s="5">
        <v>48</v>
      </c>
      <c r="C51" s="129">
        <v>2759</v>
      </c>
      <c r="D51" s="148" t="s">
        <v>39</v>
      </c>
      <c r="E51" s="158">
        <v>6.75</v>
      </c>
      <c r="F51" s="159">
        <v>6.67</v>
      </c>
      <c r="G51" s="160">
        <v>6.68</v>
      </c>
      <c r="H51" s="161">
        <v>1034.8</v>
      </c>
      <c r="I51" s="162">
        <v>646</v>
      </c>
      <c r="J51" s="163">
        <v>578.79999999999995</v>
      </c>
    </row>
    <row r="52" spans="2:15" ht="15">
      <c r="B52" s="5">
        <v>49</v>
      </c>
      <c r="C52" s="127">
        <v>4469</v>
      </c>
      <c r="D52" s="148" t="s">
        <v>42</v>
      </c>
      <c r="E52" s="158">
        <v>6.54</v>
      </c>
      <c r="F52" s="159">
        <v>6.6</v>
      </c>
      <c r="G52" s="160">
        <v>6.69</v>
      </c>
      <c r="H52" s="161">
        <v>1046.0999999999999</v>
      </c>
      <c r="I52" s="162">
        <v>648.5</v>
      </c>
      <c r="J52" s="163">
        <v>578.4</v>
      </c>
      <c r="K52" s="133"/>
    </row>
    <row r="53" spans="2:15" ht="15">
      <c r="B53" s="5">
        <v>50</v>
      </c>
      <c r="C53" s="127">
        <v>4855</v>
      </c>
      <c r="D53" s="181" t="s">
        <v>44</v>
      </c>
      <c r="E53" s="158">
        <v>5.8</v>
      </c>
      <c r="F53" s="159">
        <v>6.06</v>
      </c>
      <c r="G53" s="160">
        <v>6.96</v>
      </c>
      <c r="H53" s="161">
        <v>1089.5</v>
      </c>
      <c r="I53" s="162">
        <v>668.1</v>
      </c>
      <c r="J53" s="163">
        <v>569.1</v>
      </c>
      <c r="K53" s="133"/>
    </row>
    <row r="54" spans="2:15" ht="15">
      <c r="B54" s="5">
        <v>51</v>
      </c>
      <c r="C54" s="571">
        <v>4400</v>
      </c>
      <c r="D54" s="572" t="s">
        <v>41</v>
      </c>
      <c r="E54" s="573">
        <v>9.4700000000000006</v>
      </c>
      <c r="F54" s="572">
        <v>9.0399999999999991</v>
      </c>
      <c r="G54" s="574">
        <v>8.65</v>
      </c>
      <c r="H54" s="575">
        <v>922.4</v>
      </c>
      <c r="I54" s="575">
        <v>580.9</v>
      </c>
      <c r="J54" s="575">
        <v>520.71488932356897</v>
      </c>
      <c r="L54" t="s">
        <v>450</v>
      </c>
      <c r="O54" t="s">
        <v>452</v>
      </c>
    </row>
    <row r="55" spans="2:15" ht="15">
      <c r="B55" s="5">
        <v>52</v>
      </c>
      <c r="C55" s="130"/>
      <c r="D55" s="131"/>
      <c r="E55" s="131"/>
      <c r="F55" s="131"/>
      <c r="G55" s="135"/>
      <c r="H55" s="132"/>
      <c r="I55" s="132"/>
      <c r="J55" s="132"/>
      <c r="K55" s="133"/>
    </row>
    <row r="56" spans="2:15" ht="15">
      <c r="B56" s="5"/>
      <c r="C56" s="108"/>
      <c r="D56" s="107"/>
      <c r="E56" s="107"/>
      <c r="F56" s="107"/>
      <c r="G56" s="109"/>
      <c r="H56" s="111"/>
      <c r="I56" s="111"/>
      <c r="J56" s="111"/>
    </row>
    <row r="57" spans="2:15" ht="15">
      <c r="B57" s="5"/>
      <c r="C57" s="108"/>
      <c r="D57" s="107"/>
      <c r="E57" s="107"/>
      <c r="F57" s="107"/>
      <c r="G57" s="109"/>
      <c r="H57" s="111"/>
      <c r="I57" s="111"/>
      <c r="J57" s="111"/>
    </row>
    <row r="58" spans="2:15">
      <c r="B58" s="32"/>
      <c r="C58" s="32"/>
      <c r="D58" s="32"/>
      <c r="E58" s="32"/>
      <c r="F58" s="32"/>
      <c r="G58" s="110"/>
      <c r="H58" s="112"/>
      <c r="I58" s="112"/>
      <c r="J58" s="112"/>
    </row>
    <row r="59" spans="2:15">
      <c r="B59" s="32"/>
      <c r="C59" s="32"/>
      <c r="D59" s="32"/>
      <c r="E59" s="32"/>
      <c r="F59" s="32"/>
      <c r="G59" s="110"/>
      <c r="H59" s="112"/>
      <c r="I59" s="112"/>
      <c r="J59" s="112"/>
    </row>
    <row r="60" spans="2:15">
      <c r="B60" s="32"/>
      <c r="C60" s="32"/>
      <c r="D60" s="32"/>
      <c r="E60" s="32"/>
      <c r="F60" s="32"/>
      <c r="G60" s="110"/>
      <c r="H60" s="112"/>
      <c r="I60" s="112"/>
      <c r="J60" s="112"/>
    </row>
    <row r="61" spans="2:15">
      <c r="B61" s="32"/>
      <c r="C61" s="32"/>
      <c r="D61" s="32"/>
      <c r="E61" s="32"/>
      <c r="F61" s="32"/>
      <c r="G61" s="110"/>
      <c r="H61" s="112"/>
      <c r="I61" s="112"/>
      <c r="J61" s="112"/>
    </row>
    <row r="62" spans="2:15">
      <c r="B62" s="32"/>
      <c r="C62" s="32"/>
      <c r="D62" s="32"/>
      <c r="E62" s="32"/>
      <c r="F62" s="32"/>
      <c r="G62" s="110"/>
      <c r="H62" s="112"/>
      <c r="I62" s="112"/>
      <c r="J62" s="112"/>
    </row>
    <row r="66" spans="3:3">
      <c r="C66" s="7" t="s">
        <v>381</v>
      </c>
    </row>
  </sheetData>
  <sheetProtection algorithmName="SHA-512" hashValue="6PVDFQ7seEwCG5LjTxc0VkmHwwuB3ljdgRglhSaOWbayMmWR+f5bF+BaGGrxpm616ezURc2NcDCCHiBjMio33g==" saltValue="1iu4Fsgklm0VNarIlm47qw==" spinCount="100000" sheet="1" objects="1" scenarios="1"/>
  <phoneticPr fontId="3"/>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3"/>
  <sheetViews>
    <sheetView topLeftCell="C1" zoomScale="85" zoomScaleNormal="85" workbookViewId="0">
      <selection activeCell="I14" sqref="I14"/>
    </sheetView>
  </sheetViews>
  <sheetFormatPr defaultRowHeight="13.5"/>
  <cols>
    <col min="1" max="1" width="1.75" customWidth="1"/>
    <col min="2" max="2" width="5" customWidth="1"/>
    <col min="3" max="3" width="7" customWidth="1"/>
    <col min="4" max="4" width="18" customWidth="1"/>
    <col min="5" max="5" width="8" customWidth="1"/>
    <col min="6" max="6" width="5" customWidth="1"/>
    <col min="7" max="7" width="10.875" customWidth="1"/>
    <col min="8" max="8" width="8.375" customWidth="1"/>
    <col min="9" max="9" width="8.75" customWidth="1"/>
    <col min="10" max="10" width="5" customWidth="1"/>
    <col min="11" max="11" width="8.5" customWidth="1"/>
    <col min="12" max="12" width="10.875" customWidth="1"/>
    <col min="13" max="13" width="9.5" customWidth="1"/>
    <col min="14" max="14" width="7.875" customWidth="1"/>
    <col min="15" max="15" width="8" customWidth="1"/>
    <col min="16" max="16" width="11.25" customWidth="1"/>
    <col min="17" max="17" width="12.25" customWidth="1"/>
    <col min="18" max="18" width="1.875" customWidth="1"/>
    <col min="19" max="19" width="4.875" customWidth="1"/>
    <col min="20" max="22" width="7.625" customWidth="1"/>
    <col min="23" max="23" width="7.75" customWidth="1"/>
    <col min="24" max="25" width="7.625" customWidth="1"/>
    <col min="26" max="26" width="4.5" customWidth="1"/>
    <col min="27" max="29" width="8" customWidth="1"/>
  </cols>
  <sheetData>
    <row r="1" spans="1:29" ht="9.75" customHeight="1" thickBot="1">
      <c r="A1" s="291"/>
      <c r="B1" s="204"/>
      <c r="C1" s="204"/>
      <c r="D1" s="204"/>
      <c r="E1" s="204"/>
      <c r="F1" s="204"/>
      <c r="G1" s="204"/>
      <c r="H1" s="204"/>
      <c r="I1" s="204"/>
      <c r="J1" s="204"/>
      <c r="K1" s="204"/>
      <c r="L1" s="204"/>
      <c r="M1" s="204"/>
      <c r="N1" s="204"/>
      <c r="O1" s="204"/>
      <c r="P1" s="204"/>
      <c r="Q1" s="204"/>
      <c r="R1" s="204"/>
      <c r="S1" s="204"/>
    </row>
    <row r="2" spans="1:29" ht="21">
      <c r="A2" s="291"/>
      <c r="B2" s="193"/>
      <c r="C2" s="194"/>
      <c r="D2" s="606" t="str">
        <f>参照ﾃﾞｰﾀ!P4</f>
        <v>2018年</v>
      </c>
      <c r="E2" s="606"/>
      <c r="F2" s="606"/>
      <c r="G2" s="195" t="s">
        <v>200</v>
      </c>
      <c r="H2" s="196"/>
      <c r="I2" s="197"/>
      <c r="J2" s="193"/>
      <c r="K2" s="198"/>
      <c r="L2" s="193"/>
      <c r="M2" s="199" t="s">
        <v>53</v>
      </c>
      <c r="N2" s="200" t="s">
        <v>76</v>
      </c>
      <c r="O2" s="201" t="s">
        <v>55</v>
      </c>
      <c r="P2" s="202">
        <v>43331</v>
      </c>
      <c r="Q2" s="203">
        <v>0.39583333333333331</v>
      </c>
      <c r="R2" s="295"/>
      <c r="S2" s="193"/>
      <c r="T2" s="45" t="s">
        <v>2</v>
      </c>
      <c r="U2" s="1"/>
      <c r="V2" s="1"/>
      <c r="W2" s="1"/>
      <c r="X2" s="1"/>
      <c r="Y2" s="1"/>
      <c r="Z2" s="1"/>
    </row>
    <row r="3" spans="1:29" ht="21.75" customHeight="1" thickBot="1">
      <c r="A3" s="291"/>
      <c r="B3" s="193"/>
      <c r="C3" s="204"/>
      <c r="D3" s="205" t="s">
        <v>237</v>
      </c>
      <c r="E3" s="607" t="s">
        <v>65</v>
      </c>
      <c r="F3" s="607"/>
      <c r="G3" s="607"/>
      <c r="H3" s="607"/>
      <c r="I3" s="607"/>
      <c r="J3" s="589" t="s">
        <v>88</v>
      </c>
      <c r="K3" s="589"/>
      <c r="L3" s="206"/>
      <c r="M3" s="207" t="s">
        <v>77</v>
      </c>
      <c r="N3" s="208">
        <f>IF(ISBLANK(N2),"",VLOOKUP(N2,コース・距離,2,FALSE))</f>
        <v>11.3</v>
      </c>
      <c r="O3" s="209" t="s">
        <v>0</v>
      </c>
      <c r="P3" s="210">
        <v>15</v>
      </c>
      <c r="Q3" s="211" t="s">
        <v>1</v>
      </c>
      <c r="R3" s="296"/>
      <c r="S3" s="193"/>
      <c r="T3" s="1" t="s">
        <v>265</v>
      </c>
      <c r="U3" s="1"/>
      <c r="V3" s="1"/>
      <c r="W3" s="45" t="s">
        <v>2</v>
      </c>
      <c r="X3" s="24"/>
      <c r="Y3" s="24"/>
      <c r="Z3" s="1"/>
      <c r="AA3" s="58" t="s">
        <v>78</v>
      </c>
    </row>
    <row r="4" spans="1:29" ht="7.5" customHeight="1" thickBot="1">
      <c r="A4" s="291"/>
      <c r="B4" s="193"/>
      <c r="C4" s="193"/>
      <c r="D4" s="193"/>
      <c r="E4" s="193"/>
      <c r="F4" s="193"/>
      <c r="G4" s="193"/>
      <c r="H4" s="193"/>
      <c r="I4" s="193"/>
      <c r="J4" s="193"/>
      <c r="K4" s="193"/>
      <c r="L4" s="193"/>
      <c r="M4" s="193"/>
      <c r="N4" s="193"/>
      <c r="O4" s="193"/>
      <c r="P4" s="193"/>
      <c r="Q4" s="193"/>
      <c r="R4" s="193"/>
      <c r="S4" s="193"/>
      <c r="T4" s="1"/>
      <c r="U4" s="1"/>
      <c r="V4" s="1"/>
      <c r="W4" s="25"/>
      <c r="X4" s="24"/>
      <c r="Y4" s="24"/>
      <c r="Z4" s="1"/>
    </row>
    <row r="5" spans="1:29" ht="14.25">
      <c r="A5" s="291"/>
      <c r="B5" s="212" t="s">
        <v>3</v>
      </c>
      <c r="C5" s="213" t="s">
        <v>4</v>
      </c>
      <c r="D5" s="213" t="s">
        <v>5</v>
      </c>
      <c r="E5" s="213" t="s">
        <v>6</v>
      </c>
      <c r="F5" s="213" t="s">
        <v>7</v>
      </c>
      <c r="G5" s="213" t="s">
        <v>8</v>
      </c>
      <c r="H5" s="213" t="s">
        <v>9</v>
      </c>
      <c r="I5" s="213" t="s">
        <v>10</v>
      </c>
      <c r="J5" s="213" t="s">
        <v>11</v>
      </c>
      <c r="K5" s="213" t="s">
        <v>12</v>
      </c>
      <c r="L5" s="214" t="s">
        <v>331</v>
      </c>
      <c r="M5" s="214" t="s">
        <v>328</v>
      </c>
      <c r="N5" s="213" t="s">
        <v>73</v>
      </c>
      <c r="O5" s="213" t="s">
        <v>13</v>
      </c>
      <c r="P5" s="590" t="s">
        <v>72</v>
      </c>
      <c r="Q5" s="591"/>
      <c r="R5" s="297"/>
      <c r="S5" s="293"/>
      <c r="T5" s="30" t="s">
        <v>10</v>
      </c>
      <c r="U5" s="31" t="s">
        <v>10</v>
      </c>
      <c r="V5" s="46" t="s">
        <v>10</v>
      </c>
      <c r="W5" s="30" t="s">
        <v>10</v>
      </c>
      <c r="X5" s="31" t="s">
        <v>10</v>
      </c>
      <c r="Y5" s="46" t="s">
        <v>10</v>
      </c>
      <c r="Z5" s="2"/>
      <c r="AA5" s="30" t="s">
        <v>13</v>
      </c>
      <c r="AB5" s="31" t="s">
        <v>13</v>
      </c>
      <c r="AC5" s="46" t="s">
        <v>13</v>
      </c>
    </row>
    <row r="6" spans="1:29" ht="14.25">
      <c r="A6" s="291"/>
      <c r="B6" s="215"/>
      <c r="C6" s="216" t="s">
        <v>14</v>
      </c>
      <c r="D6" s="217"/>
      <c r="E6" s="218" t="s">
        <v>15</v>
      </c>
      <c r="F6" s="218"/>
      <c r="G6" s="216" t="s">
        <v>16</v>
      </c>
      <c r="H6" s="218" t="s">
        <v>17</v>
      </c>
      <c r="I6" s="216" t="s">
        <v>166</v>
      </c>
      <c r="J6" s="218" t="s">
        <v>18</v>
      </c>
      <c r="K6" s="218" t="s">
        <v>17</v>
      </c>
      <c r="L6" s="216" t="s">
        <v>16</v>
      </c>
      <c r="M6" s="218" t="s">
        <v>47</v>
      </c>
      <c r="N6" s="218" t="s">
        <v>19</v>
      </c>
      <c r="O6" s="219" t="str">
        <f>"MAX=30"</f>
        <v>MAX=30</v>
      </c>
      <c r="P6" s="220"/>
      <c r="Q6" s="221"/>
      <c r="R6" s="298"/>
      <c r="S6" s="294"/>
      <c r="T6" s="47" t="s">
        <v>20</v>
      </c>
      <c r="U6" s="26" t="s">
        <v>22</v>
      </c>
      <c r="V6" s="48" t="s">
        <v>21</v>
      </c>
      <c r="W6" s="47" t="s">
        <v>20</v>
      </c>
      <c r="X6" s="26" t="s">
        <v>22</v>
      </c>
      <c r="Y6" s="48" t="s">
        <v>21</v>
      </c>
      <c r="Z6" s="3"/>
      <c r="AA6" s="47" t="s">
        <v>80</v>
      </c>
      <c r="AB6" s="26" t="s">
        <v>81</v>
      </c>
      <c r="AC6" s="48" t="s">
        <v>82</v>
      </c>
    </row>
    <row r="7" spans="1:29" ht="14.25">
      <c r="A7" s="291"/>
      <c r="B7" s="222">
        <v>1</v>
      </c>
      <c r="C7" s="223">
        <v>5752</v>
      </c>
      <c r="D7" s="224" t="str">
        <f t="shared" ref="D7:D17" si="0">IF(ISBLANK(C7),"",VLOOKUP(C7,各艇データ,2,FALSE))</f>
        <v>アルファ</v>
      </c>
      <c r="E7" s="225">
        <f t="shared" ref="E7:E17" si="1">IF($I$6="Ⅰ",T7,IF($I$6="Ⅱ",U7,IF($I$6="Ⅲ",V7,"")))</f>
        <v>10.72</v>
      </c>
      <c r="F7" s="226">
        <v>1</v>
      </c>
      <c r="G7" s="227">
        <v>0.56888888888888889</v>
      </c>
      <c r="H7" s="223">
        <f t="shared" ref="H7:H17" si="2">IFERROR(IF(G7-$Q$2&lt;=0,"",(G7-$Q$2)*86400),"")</f>
        <v>14952.000000000002</v>
      </c>
      <c r="I7" s="228">
        <f t="shared" ref="I7:I17" si="3">IF($I$6="Ⅰ",W7,IF($I$6="Ⅱ",X7,IF($I$6="Ⅲ",Y7,"")))</f>
        <v>884.3</v>
      </c>
      <c r="J7" s="225"/>
      <c r="K7" s="229">
        <f t="shared" ref="K7:K17" si="4">IFERROR(H7*(1+0.01*J7)-I7*$N$3,"")</f>
        <v>4959.4100000000017</v>
      </c>
      <c r="L7" s="227">
        <f t="shared" ref="L7:L27" si="5">IFERROR((K7-$K$7)/86400,"")</f>
        <v>0</v>
      </c>
      <c r="M7" s="230">
        <f t="shared" ref="M7:M27" si="6">IFERROR((K7-$K$7)/$N$3,"")</f>
        <v>0</v>
      </c>
      <c r="N7" s="231">
        <f t="shared" ref="N7:N27" si="7">IFERROR($N$3/(H7/3600),"")</f>
        <v>2.7207062600321024</v>
      </c>
      <c r="O7" s="232">
        <f>ROUND(IF($O$6="MAX=20",AA7,IF($O$6="MAX=30",AB7,IF($O$6="MAX=40",AC7,""))),1)</f>
        <v>30</v>
      </c>
      <c r="P7" s="233"/>
      <c r="Q7" s="234"/>
      <c r="R7" s="298"/>
      <c r="S7" s="293"/>
      <c r="T7" s="175">
        <f t="shared" ref="T7:T31" si="8">IF(ISBLANK(C7),"",VLOOKUP(C7,各艇データ,3,FALSE))</f>
        <v>10.72</v>
      </c>
      <c r="U7" s="176">
        <f t="shared" ref="U7:U31" si="9">IF(ISBLANK(C7),"",VLOOKUP(C7,各艇データ,4,FALSE))</f>
        <v>10.18</v>
      </c>
      <c r="V7" s="177">
        <f t="shared" ref="V7:V31" si="10">IF(ISBLANK(C7),"",VLOOKUP(C7,各艇データ,5,FALSE))</f>
        <v>9.92</v>
      </c>
      <c r="W7" s="49">
        <f t="shared" ref="W7:W31" si="11">IF(ISBLANK(C7),"",VLOOKUP(C7,各艇データ,6,FALSE))</f>
        <v>884.3</v>
      </c>
      <c r="X7" s="22">
        <f t="shared" ref="X7:X31" si="12">IF(ISBLANK(C7),"",VLOOKUP(C7,各艇データ,7,FALSE))</f>
        <v>557</v>
      </c>
      <c r="Y7" s="50">
        <f t="shared" ref="Y7:Y31" si="13">IF(ISBLANK(C7),"",VLOOKUP(C7,各艇データ,8,FALSE))</f>
        <v>492.1</v>
      </c>
      <c r="Z7" s="2"/>
      <c r="AA7" s="54">
        <f t="shared" ref="AA7:AA31" si="14">IF(ISBLANK(B7),"",IFERROR(20*($P$3+1-$B7)/$P$3,"20.0"))</f>
        <v>20</v>
      </c>
      <c r="AB7" s="33">
        <f t="shared" ref="AB7:AB31" si="15">IF(ISBLANK(B7),"",IFERROR(30*($P$3+1-$B7)/$P$3,"30.0"))</f>
        <v>30</v>
      </c>
      <c r="AC7" s="55">
        <f t="shared" ref="AC7:AC31" si="16">IF(ISBLANK(B7),"",IFERROR(30*($P$3-$B7)/($P$3-1)+10,"20.0"))</f>
        <v>40</v>
      </c>
    </row>
    <row r="8" spans="1:29" ht="14.25">
      <c r="A8" s="291"/>
      <c r="B8" s="235">
        <v>2</v>
      </c>
      <c r="C8" s="236">
        <v>321</v>
      </c>
      <c r="D8" s="237" t="str">
        <f t="shared" si="0"/>
        <v>かまくら</v>
      </c>
      <c r="E8" s="238">
        <f t="shared" si="1"/>
        <v>10.15</v>
      </c>
      <c r="F8" s="239">
        <v>2</v>
      </c>
      <c r="G8" s="240">
        <v>0.57324074074074072</v>
      </c>
      <c r="H8" s="236">
        <f t="shared" si="2"/>
        <v>15328</v>
      </c>
      <c r="I8" s="241">
        <f t="shared" si="3"/>
        <v>900.8</v>
      </c>
      <c r="J8" s="238"/>
      <c r="K8" s="242">
        <f t="shared" si="4"/>
        <v>5148.9599999999991</v>
      </c>
      <c r="L8" s="240">
        <f t="shared" si="5"/>
        <v>2.1938657407407111E-3</v>
      </c>
      <c r="M8" s="243">
        <f t="shared" si="6"/>
        <v>16.774336283185615</v>
      </c>
      <c r="N8" s="244">
        <f t="shared" si="7"/>
        <v>2.6539665970772441</v>
      </c>
      <c r="O8" s="245">
        <f t="shared" ref="O8:O16" si="17">ROUND(IF($O$6="MAX=20",AA8,IF($O$6="MAX=30",AB8,IF($O$6="MAX=40",AC8,""))),1)</f>
        <v>28</v>
      </c>
      <c r="P8" s="246"/>
      <c r="Q8" s="247"/>
      <c r="R8" s="298"/>
      <c r="S8" s="293"/>
      <c r="T8" s="175">
        <f t="shared" si="8"/>
        <v>10.15</v>
      </c>
      <c r="U8" s="176">
        <f t="shared" si="9"/>
        <v>9.51</v>
      </c>
      <c r="V8" s="177">
        <f t="shared" si="10"/>
        <v>9.44</v>
      </c>
      <c r="W8" s="49">
        <f t="shared" si="11"/>
        <v>900.8</v>
      </c>
      <c r="X8" s="22">
        <f t="shared" si="12"/>
        <v>570.5</v>
      </c>
      <c r="Y8" s="50">
        <f t="shared" si="13"/>
        <v>502.2</v>
      </c>
      <c r="Z8" s="2"/>
      <c r="AA8" s="54">
        <f t="shared" si="14"/>
        <v>18.666666666666668</v>
      </c>
      <c r="AB8" s="33">
        <f t="shared" si="15"/>
        <v>28</v>
      </c>
      <c r="AC8" s="55">
        <f t="shared" si="16"/>
        <v>37.857142857142861</v>
      </c>
    </row>
    <row r="9" spans="1:29" ht="14.25">
      <c r="A9" s="291"/>
      <c r="B9" s="235">
        <v>3</v>
      </c>
      <c r="C9" s="236">
        <v>5755</v>
      </c>
      <c r="D9" s="237" t="str">
        <f t="shared" si="0"/>
        <v>ランカ</v>
      </c>
      <c r="E9" s="238">
        <f t="shared" si="1"/>
        <v>8.25</v>
      </c>
      <c r="F9" s="239">
        <v>4</v>
      </c>
      <c r="G9" s="240">
        <v>0.58282407407407411</v>
      </c>
      <c r="H9" s="236">
        <f t="shared" si="2"/>
        <v>16156.000000000004</v>
      </c>
      <c r="I9" s="241">
        <f t="shared" si="3"/>
        <v>966.8</v>
      </c>
      <c r="J9" s="238"/>
      <c r="K9" s="242">
        <f t="shared" si="4"/>
        <v>5231.1600000000035</v>
      </c>
      <c r="L9" s="240">
        <f t="shared" si="5"/>
        <v>3.1452546296296506E-3</v>
      </c>
      <c r="M9" s="243">
        <f t="shared" si="6"/>
        <v>24.048672566371842</v>
      </c>
      <c r="N9" s="244">
        <f t="shared" si="7"/>
        <v>2.5179499876206979</v>
      </c>
      <c r="O9" s="245">
        <f t="shared" si="17"/>
        <v>26</v>
      </c>
      <c r="P9" s="246"/>
      <c r="Q9" s="247"/>
      <c r="R9" s="298"/>
      <c r="S9" s="293"/>
      <c r="T9" s="175">
        <f t="shared" si="8"/>
        <v>8.25</v>
      </c>
      <c r="U9" s="176">
        <f t="shared" si="9"/>
        <v>8.1</v>
      </c>
      <c r="V9" s="177">
        <f t="shared" si="10"/>
        <v>8.11</v>
      </c>
      <c r="W9" s="49">
        <f t="shared" si="11"/>
        <v>966.8</v>
      </c>
      <c r="X9" s="22">
        <f t="shared" si="12"/>
        <v>603.6</v>
      </c>
      <c r="Y9" s="50">
        <f t="shared" si="13"/>
        <v>534.5</v>
      </c>
      <c r="Z9" s="2"/>
      <c r="AA9" s="54">
        <f t="shared" si="14"/>
        <v>17.333333333333332</v>
      </c>
      <c r="AB9" s="33">
        <f t="shared" si="15"/>
        <v>26</v>
      </c>
      <c r="AC9" s="55">
        <f t="shared" si="16"/>
        <v>35.714285714285715</v>
      </c>
    </row>
    <row r="10" spans="1:29" ht="14.25">
      <c r="A10" s="291"/>
      <c r="B10" s="235">
        <v>4</v>
      </c>
      <c r="C10" s="236">
        <v>380</v>
      </c>
      <c r="D10" s="237" t="str">
        <f t="shared" si="0"/>
        <v>テティス</v>
      </c>
      <c r="E10" s="238">
        <f t="shared" si="1"/>
        <v>10.44</v>
      </c>
      <c r="F10" s="239">
        <v>3</v>
      </c>
      <c r="G10" s="240">
        <v>0.57450231481481484</v>
      </c>
      <c r="H10" s="236">
        <f t="shared" si="2"/>
        <v>15437.000000000004</v>
      </c>
      <c r="I10" s="241">
        <f t="shared" si="3"/>
        <v>892.3</v>
      </c>
      <c r="J10" s="238"/>
      <c r="K10" s="242">
        <f t="shared" si="4"/>
        <v>5354.0100000000039</v>
      </c>
      <c r="L10" s="240">
        <f t="shared" si="5"/>
        <v>4.5671296296296545E-3</v>
      </c>
      <c r="M10" s="243">
        <f t="shared" si="6"/>
        <v>34.920353982301073</v>
      </c>
      <c r="N10" s="244">
        <f t="shared" si="7"/>
        <v>2.6352270518883198</v>
      </c>
      <c r="O10" s="245">
        <f t="shared" si="17"/>
        <v>24</v>
      </c>
      <c r="P10" s="246"/>
      <c r="Q10" s="247"/>
      <c r="R10" s="298"/>
      <c r="S10" s="293"/>
      <c r="T10" s="175">
        <f t="shared" si="8"/>
        <v>10.44</v>
      </c>
      <c r="U10" s="176">
        <f t="shared" si="9"/>
        <v>10.23</v>
      </c>
      <c r="V10" s="177">
        <f t="shared" si="10"/>
        <v>9.94</v>
      </c>
      <c r="W10" s="49">
        <f t="shared" si="11"/>
        <v>892.3</v>
      </c>
      <c r="X10" s="22">
        <f t="shared" si="12"/>
        <v>556.20000000000005</v>
      </c>
      <c r="Y10" s="50">
        <f t="shared" si="13"/>
        <v>491.8</v>
      </c>
      <c r="Z10" s="2"/>
      <c r="AA10" s="54">
        <f t="shared" si="14"/>
        <v>16</v>
      </c>
      <c r="AB10" s="33">
        <f t="shared" si="15"/>
        <v>24</v>
      </c>
      <c r="AC10" s="55">
        <f t="shared" si="16"/>
        <v>33.571428571428569</v>
      </c>
    </row>
    <row r="11" spans="1:29" ht="14.25">
      <c r="A11" s="291"/>
      <c r="B11" s="248">
        <v>5</v>
      </c>
      <c r="C11" s="249">
        <v>1611</v>
      </c>
      <c r="D11" s="250" t="str">
        <f t="shared" si="0"/>
        <v>ﾈﾌﾟﾁｭｰﾝXⅡ</v>
      </c>
      <c r="E11" s="251">
        <f t="shared" si="1"/>
        <v>8.2100000000000009</v>
      </c>
      <c r="F11" s="252">
        <v>5</v>
      </c>
      <c r="G11" s="253">
        <v>0.58824074074074073</v>
      </c>
      <c r="H11" s="254">
        <f t="shared" si="2"/>
        <v>16624</v>
      </c>
      <c r="I11" s="255">
        <f t="shared" si="3"/>
        <v>968.4</v>
      </c>
      <c r="J11" s="256"/>
      <c r="K11" s="257">
        <f t="shared" si="4"/>
        <v>5681.08</v>
      </c>
      <c r="L11" s="258">
        <f t="shared" si="5"/>
        <v>8.3526620370370161E-3</v>
      </c>
      <c r="M11" s="259">
        <f t="shared" si="6"/>
        <v>63.864601769911346</v>
      </c>
      <c r="N11" s="260">
        <f t="shared" si="7"/>
        <v>2.4470644850818095</v>
      </c>
      <c r="O11" s="261">
        <f t="shared" si="17"/>
        <v>22</v>
      </c>
      <c r="P11" s="262"/>
      <c r="Q11" s="263"/>
      <c r="R11" s="298"/>
      <c r="S11" s="293"/>
      <c r="T11" s="175">
        <f t="shared" si="8"/>
        <v>8.2100000000000009</v>
      </c>
      <c r="U11" s="176">
        <f t="shared" si="9"/>
        <v>8.15</v>
      </c>
      <c r="V11" s="177">
        <f t="shared" si="10"/>
        <v>7.98</v>
      </c>
      <c r="W11" s="49">
        <f t="shared" si="11"/>
        <v>968.4</v>
      </c>
      <c r="X11" s="22">
        <f t="shared" si="12"/>
        <v>602.20000000000005</v>
      </c>
      <c r="Y11" s="50">
        <f t="shared" si="13"/>
        <v>538.1</v>
      </c>
      <c r="Z11" s="2"/>
      <c r="AA11" s="54">
        <f t="shared" si="14"/>
        <v>14.666666666666666</v>
      </c>
      <c r="AB11" s="33">
        <f t="shared" si="15"/>
        <v>22</v>
      </c>
      <c r="AC11" s="55">
        <f t="shared" si="16"/>
        <v>31.428571428571427</v>
      </c>
    </row>
    <row r="12" spans="1:29" ht="14.25">
      <c r="A12" s="291"/>
      <c r="B12" s="222">
        <v>6</v>
      </c>
      <c r="C12" s="223">
        <v>150</v>
      </c>
      <c r="D12" s="224" t="str">
        <f t="shared" si="0"/>
        <v>SHARK X</v>
      </c>
      <c r="E12" s="225">
        <f t="shared" si="1"/>
        <v>9.06</v>
      </c>
      <c r="F12" s="226">
        <v>6</v>
      </c>
      <c r="G12" s="227">
        <v>0.58908564814814812</v>
      </c>
      <c r="H12" s="223">
        <f t="shared" si="2"/>
        <v>16697</v>
      </c>
      <c r="I12" s="228">
        <f t="shared" si="3"/>
        <v>936.4</v>
      </c>
      <c r="J12" s="225"/>
      <c r="K12" s="229">
        <f t="shared" si="4"/>
        <v>6115.68</v>
      </c>
      <c r="L12" s="227">
        <f t="shared" si="5"/>
        <v>1.3382754629629614E-2</v>
      </c>
      <c r="M12" s="230">
        <f t="shared" si="6"/>
        <v>102.32477876106182</v>
      </c>
      <c r="N12" s="231">
        <f t="shared" si="7"/>
        <v>2.436365814218123</v>
      </c>
      <c r="O12" s="232">
        <f t="shared" si="17"/>
        <v>20</v>
      </c>
      <c r="P12" s="233"/>
      <c r="Q12" s="234"/>
      <c r="R12" s="298"/>
      <c r="S12" s="293"/>
      <c r="T12" s="175">
        <f t="shared" si="8"/>
        <v>9.06</v>
      </c>
      <c r="U12" s="176">
        <f t="shared" si="9"/>
        <v>8.56</v>
      </c>
      <c r="V12" s="177">
        <f t="shared" si="10"/>
        <v>8.43</v>
      </c>
      <c r="W12" s="49">
        <f t="shared" si="11"/>
        <v>936.4</v>
      </c>
      <c r="X12" s="22">
        <f t="shared" si="12"/>
        <v>591.79999999999995</v>
      </c>
      <c r="Y12" s="50">
        <f t="shared" si="13"/>
        <v>526.20000000000005</v>
      </c>
      <c r="Z12" s="2"/>
      <c r="AA12" s="54">
        <f t="shared" si="14"/>
        <v>13.333333333333334</v>
      </c>
      <c r="AB12" s="33">
        <f t="shared" si="15"/>
        <v>20</v>
      </c>
      <c r="AC12" s="55">
        <f t="shared" si="16"/>
        <v>29.285714285714285</v>
      </c>
    </row>
    <row r="13" spans="1:29" ht="14.25">
      <c r="A13" s="291"/>
      <c r="B13" s="235">
        <v>7</v>
      </c>
      <c r="C13" s="264">
        <v>312</v>
      </c>
      <c r="D13" s="237" t="str">
        <f t="shared" si="0"/>
        <v>はやとり</v>
      </c>
      <c r="E13" s="238">
        <f t="shared" si="1"/>
        <v>8.31</v>
      </c>
      <c r="F13" s="239">
        <v>7</v>
      </c>
      <c r="G13" s="240">
        <v>0.60287037037037039</v>
      </c>
      <c r="H13" s="236">
        <f t="shared" si="2"/>
        <v>17888.000000000004</v>
      </c>
      <c r="I13" s="241">
        <f t="shared" si="3"/>
        <v>964.4</v>
      </c>
      <c r="J13" s="238"/>
      <c r="K13" s="242">
        <f t="shared" si="4"/>
        <v>6990.2800000000025</v>
      </c>
      <c r="L13" s="240">
        <f t="shared" si="5"/>
        <v>2.3505439814814823E-2</v>
      </c>
      <c r="M13" s="243">
        <f t="shared" si="6"/>
        <v>179.72300884955757</v>
      </c>
      <c r="N13" s="244">
        <f t="shared" si="7"/>
        <v>2.2741502683363142</v>
      </c>
      <c r="O13" s="245">
        <f t="shared" si="17"/>
        <v>18</v>
      </c>
      <c r="P13" s="246"/>
      <c r="Q13" s="247"/>
      <c r="R13" s="298"/>
      <c r="S13" s="293"/>
      <c r="T13" s="175">
        <f t="shared" si="8"/>
        <v>8.31</v>
      </c>
      <c r="U13" s="176">
        <f t="shared" si="9"/>
        <v>8.2200000000000006</v>
      </c>
      <c r="V13" s="177">
        <f t="shared" si="10"/>
        <v>8.1300000000000008</v>
      </c>
      <c r="W13" s="49">
        <f t="shared" si="11"/>
        <v>964.4</v>
      </c>
      <c r="X13" s="22">
        <f t="shared" si="12"/>
        <v>600.29999999999995</v>
      </c>
      <c r="Y13" s="50">
        <f t="shared" si="13"/>
        <v>534</v>
      </c>
      <c r="Z13" s="2"/>
      <c r="AA13" s="54">
        <f t="shared" si="14"/>
        <v>12</v>
      </c>
      <c r="AB13" s="33">
        <f t="shared" si="15"/>
        <v>18</v>
      </c>
      <c r="AC13" s="55">
        <f t="shared" si="16"/>
        <v>27.142857142857142</v>
      </c>
    </row>
    <row r="14" spans="1:29" ht="14.25">
      <c r="A14" s="291"/>
      <c r="B14" s="235">
        <v>8</v>
      </c>
      <c r="C14" s="236">
        <v>4400</v>
      </c>
      <c r="D14" s="237" t="str">
        <f t="shared" si="0"/>
        <v>アイデアル</v>
      </c>
      <c r="E14" s="238">
        <v>7.82</v>
      </c>
      <c r="F14" s="239">
        <v>8</v>
      </c>
      <c r="G14" s="240">
        <v>0.60599537037037032</v>
      </c>
      <c r="H14" s="236">
        <f t="shared" si="2"/>
        <v>18157.999999999996</v>
      </c>
      <c r="I14" s="241">
        <v>984.4</v>
      </c>
      <c r="J14" s="238"/>
      <c r="K14" s="242">
        <f t="shared" si="4"/>
        <v>7034.2799999999952</v>
      </c>
      <c r="L14" s="240">
        <f t="shared" si="5"/>
        <v>2.4014699074073997E-2</v>
      </c>
      <c r="M14" s="243">
        <f t="shared" si="6"/>
        <v>183.61681415929144</v>
      </c>
      <c r="N14" s="244">
        <f t="shared" si="7"/>
        <v>2.240334838638617</v>
      </c>
      <c r="O14" s="245">
        <f t="shared" si="17"/>
        <v>16</v>
      </c>
      <c r="P14" s="246"/>
      <c r="Q14" s="247"/>
      <c r="R14" s="298"/>
      <c r="S14" s="293"/>
      <c r="T14" s="175">
        <f t="shared" si="8"/>
        <v>9.4700000000000006</v>
      </c>
      <c r="U14" s="176">
        <f t="shared" si="9"/>
        <v>9.0399999999999991</v>
      </c>
      <c r="V14" s="177">
        <f t="shared" si="10"/>
        <v>8.65</v>
      </c>
      <c r="W14" s="49">
        <f t="shared" si="11"/>
        <v>922.4</v>
      </c>
      <c r="X14" s="22">
        <f t="shared" si="12"/>
        <v>580.9</v>
      </c>
      <c r="Y14" s="50">
        <f t="shared" si="13"/>
        <v>520.71488932356897</v>
      </c>
      <c r="Z14" s="2"/>
      <c r="AA14" s="54">
        <f t="shared" si="14"/>
        <v>10.666666666666666</v>
      </c>
      <c r="AB14" s="33">
        <f t="shared" si="15"/>
        <v>16</v>
      </c>
      <c r="AC14" s="55">
        <f t="shared" si="16"/>
        <v>25</v>
      </c>
    </row>
    <row r="15" spans="1:29" ht="14.25">
      <c r="A15" s="291"/>
      <c r="B15" s="235">
        <v>9</v>
      </c>
      <c r="C15" s="236">
        <v>131</v>
      </c>
      <c r="D15" s="237" t="str">
        <f t="shared" si="0"/>
        <v>ふるたか</v>
      </c>
      <c r="E15" s="238">
        <f t="shared" si="1"/>
        <v>8.2899999999999991</v>
      </c>
      <c r="F15" s="239">
        <v>9</v>
      </c>
      <c r="G15" s="240">
        <v>0.60607638888888882</v>
      </c>
      <c r="H15" s="236">
        <f t="shared" si="2"/>
        <v>18164.999999999996</v>
      </c>
      <c r="I15" s="241">
        <f t="shared" si="3"/>
        <v>965.1</v>
      </c>
      <c r="J15" s="238"/>
      <c r="K15" s="242">
        <f t="shared" si="4"/>
        <v>7259.3699999999953</v>
      </c>
      <c r="L15" s="240">
        <f t="shared" si="5"/>
        <v>2.6619907407407335E-2</v>
      </c>
      <c r="M15" s="243">
        <f t="shared" si="6"/>
        <v>203.53628318584015</v>
      </c>
      <c r="N15" s="244">
        <f t="shared" si="7"/>
        <v>2.2394715111478121</v>
      </c>
      <c r="O15" s="245">
        <f t="shared" si="17"/>
        <v>14</v>
      </c>
      <c r="P15" s="246"/>
      <c r="Q15" s="247"/>
      <c r="R15" s="298"/>
      <c r="S15" s="293"/>
      <c r="T15" s="175">
        <f t="shared" si="8"/>
        <v>8.2899999999999991</v>
      </c>
      <c r="U15" s="176">
        <f t="shared" si="9"/>
        <v>8.31</v>
      </c>
      <c r="V15" s="177">
        <f t="shared" si="10"/>
        <v>8.0500000000000007</v>
      </c>
      <c r="W15" s="49">
        <f t="shared" si="11"/>
        <v>965.1</v>
      </c>
      <c r="X15" s="22">
        <f t="shared" si="12"/>
        <v>598.20000000000005</v>
      </c>
      <c r="Y15" s="50">
        <f t="shared" si="13"/>
        <v>536.29999999999995</v>
      </c>
      <c r="Z15" s="2"/>
      <c r="AA15" s="54">
        <f t="shared" si="14"/>
        <v>9.3333333333333339</v>
      </c>
      <c r="AB15" s="33">
        <f t="shared" si="15"/>
        <v>14</v>
      </c>
      <c r="AC15" s="55">
        <f t="shared" si="16"/>
        <v>22.857142857142858</v>
      </c>
    </row>
    <row r="16" spans="1:29" ht="14.25">
      <c r="A16" s="291"/>
      <c r="B16" s="248">
        <v>10</v>
      </c>
      <c r="C16" s="249">
        <v>2759</v>
      </c>
      <c r="D16" s="250" t="str">
        <f t="shared" si="0"/>
        <v>イクソラⅢ</v>
      </c>
      <c r="E16" s="251">
        <f t="shared" si="1"/>
        <v>6.75</v>
      </c>
      <c r="F16" s="252">
        <v>10</v>
      </c>
      <c r="G16" s="253">
        <v>0.61780092592592595</v>
      </c>
      <c r="H16" s="249">
        <f t="shared" si="2"/>
        <v>19178.000000000004</v>
      </c>
      <c r="I16" s="265">
        <f t="shared" si="3"/>
        <v>1034.8</v>
      </c>
      <c r="J16" s="266"/>
      <c r="K16" s="267">
        <f t="shared" si="4"/>
        <v>7484.7600000000039</v>
      </c>
      <c r="L16" s="253">
        <f t="shared" si="5"/>
        <v>2.9228587962962987E-2</v>
      </c>
      <c r="M16" s="268">
        <f t="shared" si="6"/>
        <v>223.48230088495592</v>
      </c>
      <c r="N16" s="269">
        <f t="shared" si="7"/>
        <v>2.1211805193450823</v>
      </c>
      <c r="O16" s="270">
        <f t="shared" si="17"/>
        <v>12</v>
      </c>
      <c r="P16" s="262"/>
      <c r="Q16" s="263"/>
      <c r="R16" s="298"/>
      <c r="S16" s="293"/>
      <c r="T16" s="175">
        <f t="shared" si="8"/>
        <v>6.75</v>
      </c>
      <c r="U16" s="176">
        <f t="shared" si="9"/>
        <v>6.67</v>
      </c>
      <c r="V16" s="177">
        <f t="shared" si="10"/>
        <v>6.68</v>
      </c>
      <c r="W16" s="49">
        <f t="shared" si="11"/>
        <v>1034.8</v>
      </c>
      <c r="X16" s="22">
        <f t="shared" si="12"/>
        <v>646</v>
      </c>
      <c r="Y16" s="50">
        <f t="shared" si="13"/>
        <v>578.79999999999995</v>
      </c>
      <c r="Z16" s="2"/>
      <c r="AA16" s="54">
        <f t="shared" si="14"/>
        <v>8</v>
      </c>
      <c r="AB16" s="33">
        <f t="shared" si="15"/>
        <v>12</v>
      </c>
      <c r="AC16" s="55">
        <f t="shared" si="16"/>
        <v>20.714285714285715</v>
      </c>
    </row>
    <row r="17" spans="1:29" ht="14.25">
      <c r="A17" s="291"/>
      <c r="B17" s="222">
        <v>11</v>
      </c>
      <c r="C17" s="223">
        <v>199</v>
      </c>
      <c r="D17" s="224" t="str">
        <f t="shared" si="0"/>
        <v>サ－モン4</v>
      </c>
      <c r="E17" s="225">
        <f t="shared" si="1"/>
        <v>9.24</v>
      </c>
      <c r="F17" s="226">
        <v>11</v>
      </c>
      <c r="G17" s="227">
        <v>0.62094907407407407</v>
      </c>
      <c r="H17" s="271">
        <f t="shared" si="2"/>
        <v>19450</v>
      </c>
      <c r="I17" s="272">
        <f t="shared" si="3"/>
        <v>930.3</v>
      </c>
      <c r="J17" s="273"/>
      <c r="K17" s="274">
        <f t="shared" si="4"/>
        <v>8937.61</v>
      </c>
      <c r="L17" s="275">
        <f t="shared" si="5"/>
        <v>4.604398148148147E-2</v>
      </c>
      <c r="M17" s="276">
        <f t="shared" si="6"/>
        <v>352.05309734513264</v>
      </c>
      <c r="N17" s="277">
        <f t="shared" si="7"/>
        <v>2.0915167095115681</v>
      </c>
      <c r="O17" s="278">
        <f>ROUND(IF($O$6="MAX=20",AA17,IF($O$6="MAX=30",AB17,IF($O$6="MAX=40",AC17,""))),1)</f>
        <v>10</v>
      </c>
      <c r="P17" s="233"/>
      <c r="Q17" s="234"/>
      <c r="R17" s="298"/>
      <c r="S17" s="293"/>
      <c r="T17" s="175">
        <f t="shared" si="8"/>
        <v>9.24</v>
      </c>
      <c r="U17" s="176">
        <f t="shared" si="9"/>
        <v>9.15</v>
      </c>
      <c r="V17" s="177">
        <f t="shared" si="10"/>
        <v>9.1</v>
      </c>
      <c r="W17" s="49">
        <f t="shared" si="11"/>
        <v>930.3</v>
      </c>
      <c r="X17" s="22">
        <f t="shared" si="12"/>
        <v>578.20000000000005</v>
      </c>
      <c r="Y17" s="50">
        <f t="shared" si="13"/>
        <v>509.9</v>
      </c>
      <c r="Z17" s="2"/>
      <c r="AA17" s="54">
        <f t="shared" si="14"/>
        <v>6.666666666666667</v>
      </c>
      <c r="AB17" s="33">
        <f t="shared" si="15"/>
        <v>10</v>
      </c>
      <c r="AC17" s="55">
        <f t="shared" si="16"/>
        <v>18.571428571428569</v>
      </c>
    </row>
    <row r="18" spans="1:29" ht="14.25">
      <c r="A18" s="291"/>
      <c r="B18" s="235">
        <v>12</v>
      </c>
      <c r="C18" s="236">
        <v>162</v>
      </c>
      <c r="D18" s="237" t="str">
        <f t="shared" ref="D18:D22" si="18">IF(ISBLANK(C18),"",VLOOKUP(C18,各艇データ,2,FALSE))</f>
        <v>ﾌｪﾆｯｸｽ</v>
      </c>
      <c r="E18" s="238">
        <f t="shared" ref="E18:E22" si="19">IF($I$6="Ⅰ",T18,IF($I$6="Ⅱ",U18,IF($I$6="Ⅲ",V18,"")))</f>
        <v>6.96</v>
      </c>
      <c r="F18" s="239" t="s">
        <v>382</v>
      </c>
      <c r="G18" s="240"/>
      <c r="H18" s="236"/>
      <c r="I18" s="241"/>
      <c r="J18" s="238"/>
      <c r="K18" s="242"/>
      <c r="L18" s="240"/>
      <c r="M18" s="243"/>
      <c r="N18" s="244"/>
      <c r="O18" s="245">
        <v>1</v>
      </c>
      <c r="P18" s="246"/>
      <c r="Q18" s="247"/>
      <c r="R18" s="298"/>
      <c r="S18" s="293"/>
      <c r="T18" s="175">
        <f t="shared" si="8"/>
        <v>6.96</v>
      </c>
      <c r="U18" s="176">
        <f t="shared" si="9"/>
        <v>6.84</v>
      </c>
      <c r="V18" s="177">
        <f t="shared" si="10"/>
        <v>6.95</v>
      </c>
      <c r="W18" s="49">
        <f t="shared" si="11"/>
        <v>1024.3</v>
      </c>
      <c r="X18" s="22">
        <f t="shared" si="12"/>
        <v>640.4</v>
      </c>
      <c r="Y18" s="50">
        <f t="shared" si="13"/>
        <v>569.4</v>
      </c>
      <c r="Z18" s="2"/>
      <c r="AA18" s="54">
        <f t="shared" si="14"/>
        <v>5.333333333333333</v>
      </c>
      <c r="AB18" s="33">
        <f t="shared" si="15"/>
        <v>8</v>
      </c>
      <c r="AC18" s="55">
        <f t="shared" si="16"/>
        <v>16.428571428571431</v>
      </c>
    </row>
    <row r="19" spans="1:29" ht="14.25">
      <c r="A19" s="291"/>
      <c r="B19" s="235">
        <v>13</v>
      </c>
      <c r="C19" s="236">
        <v>346</v>
      </c>
      <c r="D19" s="237" t="str">
        <f t="shared" si="18"/>
        <v>飛車角</v>
      </c>
      <c r="E19" s="238">
        <f t="shared" si="19"/>
        <v>8.61</v>
      </c>
      <c r="F19" s="239" t="s">
        <v>382</v>
      </c>
      <c r="G19" s="240"/>
      <c r="H19" s="236"/>
      <c r="I19" s="241"/>
      <c r="J19" s="238"/>
      <c r="K19" s="242"/>
      <c r="L19" s="240"/>
      <c r="M19" s="243"/>
      <c r="N19" s="244"/>
      <c r="O19" s="245">
        <v>1</v>
      </c>
      <c r="P19" s="246"/>
      <c r="Q19" s="247"/>
      <c r="R19" s="298"/>
      <c r="S19" s="293"/>
      <c r="T19" s="175">
        <f t="shared" si="8"/>
        <v>8.61</v>
      </c>
      <c r="U19" s="176">
        <f t="shared" si="9"/>
        <v>8.58</v>
      </c>
      <c r="V19" s="177">
        <f t="shared" si="10"/>
        <v>8.68</v>
      </c>
      <c r="W19" s="49">
        <f t="shared" si="11"/>
        <v>952.6</v>
      </c>
      <c r="X19" s="22">
        <f t="shared" si="12"/>
        <v>591.5</v>
      </c>
      <c r="Y19" s="50">
        <f t="shared" si="13"/>
        <v>519.79999999999995</v>
      </c>
      <c r="Z19" s="2"/>
      <c r="AA19" s="54">
        <f t="shared" si="14"/>
        <v>4</v>
      </c>
      <c r="AB19" s="33">
        <f t="shared" si="15"/>
        <v>6</v>
      </c>
      <c r="AC19" s="55">
        <f t="shared" si="16"/>
        <v>14.285714285714285</v>
      </c>
    </row>
    <row r="20" spans="1:29" ht="14.25">
      <c r="A20" s="291"/>
      <c r="B20" s="235">
        <v>14</v>
      </c>
      <c r="C20" s="236">
        <v>4469</v>
      </c>
      <c r="D20" s="237" t="str">
        <f t="shared" si="18"/>
        <v>未央</v>
      </c>
      <c r="E20" s="238">
        <f t="shared" si="19"/>
        <v>6.54</v>
      </c>
      <c r="F20" s="239" t="s">
        <v>382</v>
      </c>
      <c r="G20" s="240"/>
      <c r="H20" s="236"/>
      <c r="I20" s="241"/>
      <c r="J20" s="238"/>
      <c r="K20" s="242"/>
      <c r="L20" s="240"/>
      <c r="M20" s="243"/>
      <c r="N20" s="244"/>
      <c r="O20" s="245">
        <v>1</v>
      </c>
      <c r="P20" s="246"/>
      <c r="Q20" s="247"/>
      <c r="R20" s="298"/>
      <c r="S20" s="293"/>
      <c r="T20" s="175">
        <f t="shared" si="8"/>
        <v>6.54</v>
      </c>
      <c r="U20" s="176">
        <f t="shared" si="9"/>
        <v>6.6</v>
      </c>
      <c r="V20" s="177">
        <f t="shared" si="10"/>
        <v>6.69</v>
      </c>
      <c r="W20" s="49">
        <f t="shared" si="11"/>
        <v>1046.0999999999999</v>
      </c>
      <c r="X20" s="22">
        <f t="shared" si="12"/>
        <v>648.5</v>
      </c>
      <c r="Y20" s="50">
        <f t="shared" si="13"/>
        <v>578.4</v>
      </c>
      <c r="Z20" s="2"/>
      <c r="AA20" s="54">
        <f t="shared" si="14"/>
        <v>2.6666666666666665</v>
      </c>
      <c r="AB20" s="33">
        <f t="shared" si="15"/>
        <v>4</v>
      </c>
      <c r="AC20" s="55">
        <f t="shared" si="16"/>
        <v>12.142857142857142</v>
      </c>
    </row>
    <row r="21" spans="1:29" ht="14.25">
      <c r="A21" s="291"/>
      <c r="B21" s="248">
        <v>15</v>
      </c>
      <c r="C21" s="249">
        <v>1985</v>
      </c>
      <c r="D21" s="237" t="str">
        <f t="shared" si="18"/>
        <v>波勝</v>
      </c>
      <c r="E21" s="251">
        <f t="shared" si="19"/>
        <v>7.33</v>
      </c>
      <c r="F21" s="252" t="s">
        <v>382</v>
      </c>
      <c r="G21" s="253"/>
      <c r="H21" s="249"/>
      <c r="I21" s="265"/>
      <c r="J21" s="251"/>
      <c r="K21" s="267"/>
      <c r="L21" s="253"/>
      <c r="M21" s="268"/>
      <c r="N21" s="269"/>
      <c r="O21" s="270">
        <v>1</v>
      </c>
      <c r="P21" s="262"/>
      <c r="Q21" s="263"/>
      <c r="R21" s="298"/>
      <c r="S21" s="293"/>
      <c r="T21" s="175">
        <f t="shared" si="8"/>
        <v>7.33</v>
      </c>
      <c r="U21" s="176">
        <f t="shared" si="9"/>
        <v>6.97</v>
      </c>
      <c r="V21" s="177">
        <f t="shared" si="10"/>
        <v>6.85</v>
      </c>
      <c r="W21" s="49">
        <f t="shared" si="11"/>
        <v>1006.4</v>
      </c>
      <c r="X21" s="22">
        <f t="shared" si="12"/>
        <v>636</v>
      </c>
      <c r="Y21" s="50">
        <f t="shared" si="13"/>
        <v>572.79999999999995</v>
      </c>
      <c r="Z21" s="2"/>
      <c r="AA21" s="54">
        <f t="shared" si="14"/>
        <v>1.3333333333333333</v>
      </c>
      <c r="AB21" s="33">
        <f t="shared" si="15"/>
        <v>2</v>
      </c>
      <c r="AC21" s="55">
        <f t="shared" si="16"/>
        <v>10</v>
      </c>
    </row>
    <row r="22" spans="1:29" ht="14.25">
      <c r="A22" s="291"/>
      <c r="B22" s="279"/>
      <c r="C22" s="271"/>
      <c r="D22" s="224" t="str">
        <f t="shared" si="18"/>
        <v/>
      </c>
      <c r="E22" s="225" t="str">
        <f t="shared" si="19"/>
        <v/>
      </c>
      <c r="F22" s="226"/>
      <c r="G22" s="275"/>
      <c r="H22" s="271" t="str">
        <f t="shared" ref="H22" si="20">IFERROR(IF(G22-$Q$2&lt;=0,"",(G22-$Q$2)*86400),"")</f>
        <v/>
      </c>
      <c r="I22" s="272" t="str">
        <f t="shared" ref="I22" si="21">IF($I$6="Ⅰ",W22,IF($I$6="Ⅱ",X22,IF($I$6="Ⅲ",Y22,"")))</f>
        <v/>
      </c>
      <c r="J22" s="273"/>
      <c r="K22" s="274" t="str">
        <f t="shared" ref="K22:K27" si="22">IFERROR(H22*(1+0.01*J22)-I22*$N$3,"")</f>
        <v/>
      </c>
      <c r="L22" s="275" t="str">
        <f t="shared" si="5"/>
        <v/>
      </c>
      <c r="M22" s="276" t="str">
        <f t="shared" si="6"/>
        <v/>
      </c>
      <c r="N22" s="277" t="str">
        <f t="shared" si="7"/>
        <v/>
      </c>
      <c r="O22" s="278"/>
      <c r="P22" s="246"/>
      <c r="Q22" s="280"/>
      <c r="R22" s="298"/>
      <c r="S22" s="293"/>
      <c r="T22" s="175" t="str">
        <f t="shared" si="8"/>
        <v/>
      </c>
      <c r="U22" s="176" t="str">
        <f t="shared" si="9"/>
        <v/>
      </c>
      <c r="V22" s="177" t="str">
        <f t="shared" si="10"/>
        <v/>
      </c>
      <c r="W22" s="49" t="str">
        <f t="shared" si="11"/>
        <v/>
      </c>
      <c r="X22" s="22" t="str">
        <f t="shared" si="12"/>
        <v/>
      </c>
      <c r="Y22" s="50" t="str">
        <f t="shared" si="13"/>
        <v/>
      </c>
      <c r="Z22" s="2"/>
      <c r="AA22" s="54" t="str">
        <f t="shared" si="14"/>
        <v/>
      </c>
      <c r="AB22" s="33" t="str">
        <f t="shared" si="15"/>
        <v/>
      </c>
      <c r="AC22" s="55" t="str">
        <f t="shared" si="16"/>
        <v/>
      </c>
    </row>
    <row r="23" spans="1:29" ht="14.25">
      <c r="A23" s="291"/>
      <c r="B23" s="235"/>
      <c r="C23" s="236"/>
      <c r="D23" s="237" t="str">
        <f t="shared" ref="D23:D25" si="23">IF(ISBLANK(C23),"",VLOOKUP(C23,各艇データ,2,FALSE))</f>
        <v/>
      </c>
      <c r="E23" s="238" t="str">
        <f t="shared" ref="E23" si="24">IF($I$6="Ⅰ",T23,IF($I$6="Ⅱ",U23,IF($I$6="Ⅲ",V23,"")))</f>
        <v/>
      </c>
      <c r="F23" s="239"/>
      <c r="G23" s="240"/>
      <c r="H23" s="236" t="str">
        <f t="shared" ref="H23:H27" si="25">IFERROR(IF(G23-$Q$2&lt;=0,"",(G23-$Q$2)*86400),"")</f>
        <v/>
      </c>
      <c r="I23" s="241" t="str">
        <f t="shared" ref="I23:I25" si="26">IF($I$6="Ⅰ",W23,IF($I$6="Ⅱ",X23,IF($I$6="Ⅲ",Y23,"")))</f>
        <v/>
      </c>
      <c r="J23" s="238"/>
      <c r="K23" s="242" t="str">
        <f t="shared" si="22"/>
        <v/>
      </c>
      <c r="L23" s="240" t="str">
        <f t="shared" si="5"/>
        <v/>
      </c>
      <c r="M23" s="243" t="str">
        <f t="shared" si="6"/>
        <v/>
      </c>
      <c r="N23" s="244" t="str">
        <f t="shared" si="7"/>
        <v/>
      </c>
      <c r="O23" s="245"/>
      <c r="P23" s="281"/>
      <c r="Q23" s="247"/>
      <c r="R23" s="298"/>
      <c r="S23" s="293"/>
      <c r="T23" s="175" t="str">
        <f t="shared" si="8"/>
        <v/>
      </c>
      <c r="U23" s="176" t="str">
        <f t="shared" si="9"/>
        <v/>
      </c>
      <c r="V23" s="177" t="str">
        <f t="shared" si="10"/>
        <v/>
      </c>
      <c r="W23" s="49" t="str">
        <f t="shared" si="11"/>
        <v/>
      </c>
      <c r="X23" s="22" t="str">
        <f t="shared" si="12"/>
        <v/>
      </c>
      <c r="Y23" s="50" t="str">
        <f t="shared" si="13"/>
        <v/>
      </c>
      <c r="Z23" s="2"/>
      <c r="AA23" s="54" t="str">
        <f t="shared" si="14"/>
        <v/>
      </c>
      <c r="AB23" s="33" t="str">
        <f t="shared" si="15"/>
        <v/>
      </c>
      <c r="AC23" s="55" t="str">
        <f t="shared" si="16"/>
        <v/>
      </c>
    </row>
    <row r="24" spans="1:29" ht="14.25">
      <c r="A24" s="291"/>
      <c r="B24" s="235"/>
      <c r="C24" s="236"/>
      <c r="D24" s="237" t="str">
        <f t="shared" si="23"/>
        <v/>
      </c>
      <c r="E24" s="238"/>
      <c r="F24" s="239"/>
      <c r="G24" s="240"/>
      <c r="H24" s="236" t="str">
        <f t="shared" si="25"/>
        <v/>
      </c>
      <c r="I24" s="241" t="str">
        <f t="shared" si="26"/>
        <v/>
      </c>
      <c r="J24" s="238"/>
      <c r="K24" s="242" t="str">
        <f t="shared" si="22"/>
        <v/>
      </c>
      <c r="L24" s="240" t="str">
        <f t="shared" si="5"/>
        <v/>
      </c>
      <c r="M24" s="243" t="str">
        <f t="shared" si="6"/>
        <v/>
      </c>
      <c r="N24" s="244" t="str">
        <f t="shared" si="7"/>
        <v/>
      </c>
      <c r="O24" s="245"/>
      <c r="P24" s="282"/>
      <c r="Q24" s="247"/>
      <c r="R24" s="298"/>
      <c r="S24" s="293"/>
      <c r="T24" s="175" t="str">
        <f t="shared" si="8"/>
        <v/>
      </c>
      <c r="U24" s="176" t="str">
        <f t="shared" si="9"/>
        <v/>
      </c>
      <c r="V24" s="177" t="str">
        <f t="shared" si="10"/>
        <v/>
      </c>
      <c r="W24" s="49" t="str">
        <f t="shared" si="11"/>
        <v/>
      </c>
      <c r="X24" s="22" t="str">
        <f t="shared" si="12"/>
        <v/>
      </c>
      <c r="Y24" s="50" t="str">
        <f t="shared" si="13"/>
        <v/>
      </c>
      <c r="Z24" s="2"/>
      <c r="AA24" s="54" t="str">
        <f t="shared" si="14"/>
        <v/>
      </c>
      <c r="AB24" s="33" t="str">
        <f t="shared" si="15"/>
        <v/>
      </c>
      <c r="AC24" s="55" t="str">
        <f t="shared" si="16"/>
        <v/>
      </c>
    </row>
    <row r="25" spans="1:29" ht="14.25">
      <c r="A25" s="291"/>
      <c r="B25" s="235"/>
      <c r="C25" s="236"/>
      <c r="D25" s="237" t="str">
        <f t="shared" si="23"/>
        <v/>
      </c>
      <c r="E25" s="238"/>
      <c r="F25" s="239"/>
      <c r="G25" s="240"/>
      <c r="H25" s="236" t="str">
        <f t="shared" si="25"/>
        <v/>
      </c>
      <c r="I25" s="241" t="str">
        <f t="shared" si="26"/>
        <v/>
      </c>
      <c r="J25" s="238"/>
      <c r="K25" s="242" t="str">
        <f t="shared" si="22"/>
        <v/>
      </c>
      <c r="L25" s="240" t="str">
        <f t="shared" si="5"/>
        <v/>
      </c>
      <c r="M25" s="243" t="str">
        <f t="shared" si="6"/>
        <v/>
      </c>
      <c r="N25" s="244" t="str">
        <f t="shared" si="7"/>
        <v/>
      </c>
      <c r="O25" s="245"/>
      <c r="P25" s="282"/>
      <c r="Q25" s="247"/>
      <c r="R25" s="298"/>
      <c r="S25" s="293"/>
      <c r="T25" s="175" t="str">
        <f t="shared" si="8"/>
        <v/>
      </c>
      <c r="U25" s="176" t="str">
        <f t="shared" si="9"/>
        <v/>
      </c>
      <c r="V25" s="177" t="str">
        <f t="shared" si="10"/>
        <v/>
      </c>
      <c r="W25" s="49" t="str">
        <f t="shared" si="11"/>
        <v/>
      </c>
      <c r="X25" s="22" t="str">
        <f t="shared" si="12"/>
        <v/>
      </c>
      <c r="Y25" s="50" t="str">
        <f t="shared" si="13"/>
        <v/>
      </c>
      <c r="Z25" s="2"/>
      <c r="AA25" s="54" t="str">
        <f t="shared" si="14"/>
        <v/>
      </c>
      <c r="AB25" s="33" t="str">
        <f t="shared" si="15"/>
        <v/>
      </c>
      <c r="AC25" s="55" t="str">
        <f t="shared" si="16"/>
        <v/>
      </c>
    </row>
    <row r="26" spans="1:29" ht="14.25">
      <c r="A26" s="291"/>
      <c r="B26" s="248"/>
      <c r="C26" s="249"/>
      <c r="D26" s="250" t="str">
        <f t="shared" ref="D26:D31" si="27">IF(ISBLANK(C26),"",VLOOKUP(C26,各艇データ,2,FALSE))</f>
        <v/>
      </c>
      <c r="E26" s="251"/>
      <c r="F26" s="252"/>
      <c r="G26" s="253"/>
      <c r="H26" s="249" t="str">
        <f t="shared" si="25"/>
        <v/>
      </c>
      <c r="I26" s="265"/>
      <c r="J26" s="251"/>
      <c r="K26" s="267" t="str">
        <f t="shared" si="22"/>
        <v/>
      </c>
      <c r="L26" s="253" t="str">
        <f t="shared" si="5"/>
        <v/>
      </c>
      <c r="M26" s="268" t="str">
        <f t="shared" si="6"/>
        <v/>
      </c>
      <c r="N26" s="269" t="str">
        <f t="shared" si="7"/>
        <v/>
      </c>
      <c r="O26" s="270"/>
      <c r="P26" s="283"/>
      <c r="Q26" s="263"/>
      <c r="R26" s="298"/>
      <c r="S26" s="293"/>
      <c r="T26" s="175" t="str">
        <f t="shared" si="8"/>
        <v/>
      </c>
      <c r="U26" s="176" t="str">
        <f t="shared" si="9"/>
        <v/>
      </c>
      <c r="V26" s="177" t="str">
        <f t="shared" si="10"/>
        <v/>
      </c>
      <c r="W26" s="49" t="str">
        <f t="shared" si="11"/>
        <v/>
      </c>
      <c r="X26" s="22" t="str">
        <f t="shared" si="12"/>
        <v/>
      </c>
      <c r="Y26" s="50" t="str">
        <f t="shared" si="13"/>
        <v/>
      </c>
      <c r="Z26" s="2"/>
      <c r="AA26" s="54" t="str">
        <f t="shared" si="14"/>
        <v/>
      </c>
      <c r="AB26" s="33" t="str">
        <f t="shared" si="15"/>
        <v/>
      </c>
      <c r="AC26" s="55" t="str">
        <f t="shared" si="16"/>
        <v/>
      </c>
    </row>
    <row r="27" spans="1:29" ht="14.25">
      <c r="A27" s="291"/>
      <c r="B27" s="279"/>
      <c r="C27" s="271"/>
      <c r="D27" s="284" t="str">
        <f t="shared" si="27"/>
        <v/>
      </c>
      <c r="E27" s="273"/>
      <c r="F27" s="285"/>
      <c r="G27" s="275"/>
      <c r="H27" s="271" t="str">
        <f t="shared" si="25"/>
        <v/>
      </c>
      <c r="I27" s="228"/>
      <c r="J27" s="225"/>
      <c r="K27" s="229" t="str">
        <f t="shared" si="22"/>
        <v/>
      </c>
      <c r="L27" s="227" t="str">
        <f t="shared" si="5"/>
        <v/>
      </c>
      <c r="M27" s="230" t="str">
        <f t="shared" si="6"/>
        <v/>
      </c>
      <c r="N27" s="231" t="str">
        <f t="shared" si="7"/>
        <v/>
      </c>
      <c r="O27" s="232"/>
      <c r="P27" s="286"/>
      <c r="Q27" s="280"/>
      <c r="R27" s="298"/>
      <c r="S27" s="293"/>
      <c r="T27" s="175" t="str">
        <f t="shared" si="8"/>
        <v/>
      </c>
      <c r="U27" s="176" t="str">
        <f t="shared" si="9"/>
        <v/>
      </c>
      <c r="V27" s="177" t="str">
        <f t="shared" si="10"/>
        <v/>
      </c>
      <c r="W27" s="49" t="str">
        <f t="shared" si="11"/>
        <v/>
      </c>
      <c r="X27" s="22" t="str">
        <f t="shared" si="12"/>
        <v/>
      </c>
      <c r="Y27" s="50" t="str">
        <f t="shared" si="13"/>
        <v/>
      </c>
      <c r="Z27" s="2"/>
      <c r="AA27" s="54" t="str">
        <f t="shared" si="14"/>
        <v/>
      </c>
      <c r="AB27" s="33" t="str">
        <f t="shared" si="15"/>
        <v/>
      </c>
      <c r="AC27" s="55" t="str">
        <f t="shared" si="16"/>
        <v/>
      </c>
    </row>
    <row r="28" spans="1:29" ht="14.25" customHeight="1">
      <c r="A28" s="291"/>
      <c r="B28" s="235"/>
      <c r="C28" s="236"/>
      <c r="D28" s="237"/>
      <c r="E28" s="238"/>
      <c r="F28" s="239"/>
      <c r="G28" s="240"/>
      <c r="H28" s="236"/>
      <c r="I28" s="241"/>
      <c r="J28" s="238"/>
      <c r="K28" s="242"/>
      <c r="L28" s="240"/>
      <c r="M28" s="243"/>
      <c r="N28" s="244"/>
      <c r="O28" s="245"/>
      <c r="P28" s="287"/>
      <c r="Q28" s="247"/>
      <c r="R28" s="298"/>
      <c r="S28" s="293"/>
      <c r="T28" s="175" t="str">
        <f t="shared" si="8"/>
        <v/>
      </c>
      <c r="U28" s="176" t="str">
        <f t="shared" si="9"/>
        <v/>
      </c>
      <c r="V28" s="177" t="str">
        <f t="shared" si="10"/>
        <v/>
      </c>
      <c r="W28" s="49" t="str">
        <f t="shared" si="11"/>
        <v/>
      </c>
      <c r="X28" s="22" t="str">
        <f t="shared" si="12"/>
        <v/>
      </c>
      <c r="Y28" s="50" t="str">
        <f t="shared" si="13"/>
        <v/>
      </c>
      <c r="Z28" s="2"/>
      <c r="AA28" s="54" t="str">
        <f t="shared" si="14"/>
        <v/>
      </c>
      <c r="AB28" s="33" t="str">
        <f t="shared" si="15"/>
        <v/>
      </c>
      <c r="AC28" s="55" t="str">
        <f t="shared" si="16"/>
        <v/>
      </c>
    </row>
    <row r="29" spans="1:29" ht="14.25">
      <c r="A29" s="291"/>
      <c r="B29" s="235"/>
      <c r="C29" s="236"/>
      <c r="D29" s="237" t="str">
        <f t="shared" si="27"/>
        <v/>
      </c>
      <c r="E29" s="238"/>
      <c r="F29" s="239"/>
      <c r="G29" s="240"/>
      <c r="H29" s="236"/>
      <c r="I29" s="241"/>
      <c r="J29" s="238"/>
      <c r="K29" s="242"/>
      <c r="L29" s="240"/>
      <c r="M29" s="243"/>
      <c r="N29" s="244"/>
      <c r="O29" s="245"/>
      <c r="P29" s="282"/>
      <c r="Q29" s="247"/>
      <c r="R29" s="298"/>
      <c r="S29" s="293"/>
      <c r="T29" s="175" t="str">
        <f t="shared" si="8"/>
        <v/>
      </c>
      <c r="U29" s="176" t="str">
        <f t="shared" si="9"/>
        <v/>
      </c>
      <c r="V29" s="177" t="str">
        <f t="shared" si="10"/>
        <v/>
      </c>
      <c r="W29" s="49" t="str">
        <f t="shared" si="11"/>
        <v/>
      </c>
      <c r="X29" s="22" t="str">
        <f t="shared" si="12"/>
        <v/>
      </c>
      <c r="Y29" s="50" t="str">
        <f t="shared" si="13"/>
        <v/>
      </c>
      <c r="Z29" s="2"/>
      <c r="AA29" s="54" t="str">
        <f t="shared" si="14"/>
        <v/>
      </c>
      <c r="AB29" s="33" t="str">
        <f t="shared" si="15"/>
        <v/>
      </c>
      <c r="AC29" s="55" t="str">
        <f t="shared" si="16"/>
        <v/>
      </c>
    </row>
    <row r="30" spans="1:29" ht="14.25" customHeight="1">
      <c r="A30" s="291"/>
      <c r="B30" s="235"/>
      <c r="C30" s="236"/>
      <c r="D30" s="237" t="str">
        <f t="shared" si="27"/>
        <v/>
      </c>
      <c r="E30" s="238"/>
      <c r="F30" s="239"/>
      <c r="G30" s="240"/>
      <c r="H30" s="236"/>
      <c r="I30" s="241"/>
      <c r="J30" s="238"/>
      <c r="K30" s="242"/>
      <c r="L30" s="240"/>
      <c r="M30" s="243"/>
      <c r="N30" s="244"/>
      <c r="O30" s="245"/>
      <c r="P30" s="282"/>
      <c r="Q30" s="247"/>
      <c r="R30" s="298"/>
      <c r="S30" s="293"/>
      <c r="T30" s="175" t="str">
        <f t="shared" si="8"/>
        <v/>
      </c>
      <c r="U30" s="176" t="str">
        <f t="shared" si="9"/>
        <v/>
      </c>
      <c r="V30" s="177" t="str">
        <f t="shared" si="10"/>
        <v/>
      </c>
      <c r="W30" s="49" t="str">
        <f t="shared" si="11"/>
        <v/>
      </c>
      <c r="X30" s="22" t="str">
        <f t="shared" si="12"/>
        <v/>
      </c>
      <c r="Y30" s="50" t="str">
        <f t="shared" si="13"/>
        <v/>
      </c>
      <c r="Z30" s="2"/>
      <c r="AA30" s="54" t="str">
        <f t="shared" si="14"/>
        <v/>
      </c>
      <c r="AB30" s="33" t="str">
        <f t="shared" si="15"/>
        <v/>
      </c>
      <c r="AC30" s="55" t="str">
        <f t="shared" si="16"/>
        <v/>
      </c>
    </row>
    <row r="31" spans="1:29" ht="15" thickBot="1">
      <c r="A31" s="291"/>
      <c r="B31" s="235"/>
      <c r="C31" s="236"/>
      <c r="D31" s="250" t="str">
        <f t="shared" si="27"/>
        <v/>
      </c>
      <c r="E31" s="251"/>
      <c r="F31" s="239"/>
      <c r="G31" s="240"/>
      <c r="H31" s="249" t="str">
        <f>IFERROR(IF(G31-$Q$2&lt;=0,"",(G31-$Q$2)*86400),"")</f>
        <v/>
      </c>
      <c r="I31" s="265" t="str">
        <f>IF($I$6="Ⅰ",W31,IF($I$6="Ⅱ",X31,IF($I$6="Ⅲ",Y31,"")))</f>
        <v/>
      </c>
      <c r="J31" s="251"/>
      <c r="K31" s="267" t="str">
        <f>IFERROR(H31*(1+0.01*J31)-I31*$N$3,"")</f>
        <v/>
      </c>
      <c r="L31" s="253" t="str">
        <f>IFERROR((K31-$K$7)/86400,"")</f>
        <v/>
      </c>
      <c r="M31" s="268" t="str">
        <f>IFERROR((K31-$K$7)/$N$3,"")</f>
        <v/>
      </c>
      <c r="N31" s="269" t="str">
        <f>IFERROR($N$3/(H31/3600),"")</f>
        <v/>
      </c>
      <c r="O31" s="270" t="str">
        <f>IF($O$6="MAX=20",AA31,IF($O$6="MAX=30",AB31,IF($O$6="MAX=40",AC31,"")))</f>
        <v/>
      </c>
      <c r="P31" s="283"/>
      <c r="Q31" s="263"/>
      <c r="R31" s="298"/>
      <c r="S31" s="293"/>
      <c r="T31" s="178" t="str">
        <f t="shared" si="8"/>
        <v/>
      </c>
      <c r="U31" s="179" t="str">
        <f t="shared" si="9"/>
        <v/>
      </c>
      <c r="V31" s="180" t="str">
        <f t="shared" si="10"/>
        <v/>
      </c>
      <c r="W31" s="51" t="str">
        <f t="shared" si="11"/>
        <v/>
      </c>
      <c r="X31" s="52" t="str">
        <f t="shared" si="12"/>
        <v/>
      </c>
      <c r="Y31" s="53" t="str">
        <f t="shared" si="13"/>
        <v/>
      </c>
      <c r="Z31" s="2"/>
      <c r="AA31" s="56" t="str">
        <f t="shared" si="14"/>
        <v/>
      </c>
      <c r="AB31" s="57" t="str">
        <f t="shared" si="15"/>
        <v/>
      </c>
      <c r="AC31" s="23" t="str">
        <f t="shared" si="16"/>
        <v/>
      </c>
    </row>
    <row r="32" spans="1:29" ht="15" customHeight="1">
      <c r="A32" s="291"/>
      <c r="B32" s="608" t="s">
        <v>329</v>
      </c>
      <c r="C32" s="609"/>
      <c r="D32" s="610"/>
      <c r="E32" s="288" t="s">
        <v>188</v>
      </c>
      <c r="F32" s="601" t="s">
        <v>383</v>
      </c>
      <c r="G32" s="602"/>
      <c r="H32" s="592" t="s">
        <v>391</v>
      </c>
      <c r="I32" s="593"/>
      <c r="J32" s="593"/>
      <c r="K32" s="593"/>
      <c r="L32" s="593"/>
      <c r="M32" s="593"/>
      <c r="N32" s="593"/>
      <c r="O32" s="593"/>
      <c r="P32" s="593"/>
      <c r="Q32" s="594"/>
      <c r="R32" s="299"/>
      <c r="S32" s="193"/>
      <c r="T32" s="1"/>
      <c r="U32" s="1"/>
      <c r="V32" s="1"/>
      <c r="X32" s="9"/>
      <c r="Y32" s="1"/>
      <c r="Z32" s="1"/>
    </row>
    <row r="33" spans="1:26" ht="15" customHeight="1">
      <c r="A33" s="291"/>
      <c r="B33" s="611"/>
      <c r="C33" s="612"/>
      <c r="D33" s="613"/>
      <c r="E33" s="289" t="s">
        <v>189</v>
      </c>
      <c r="F33" s="603" t="s">
        <v>384</v>
      </c>
      <c r="G33" s="604"/>
      <c r="H33" s="595"/>
      <c r="I33" s="596"/>
      <c r="J33" s="596"/>
      <c r="K33" s="596"/>
      <c r="L33" s="596"/>
      <c r="M33" s="596"/>
      <c r="N33" s="596"/>
      <c r="O33" s="596"/>
      <c r="P33" s="596"/>
      <c r="Q33" s="597"/>
      <c r="R33" s="299"/>
      <c r="S33" s="193"/>
      <c r="T33" s="1"/>
      <c r="U33" s="1"/>
      <c r="V33" s="1"/>
      <c r="Y33" s="1"/>
      <c r="Z33" s="1"/>
    </row>
    <row r="34" spans="1:26" ht="23.25" customHeight="1">
      <c r="A34" s="291"/>
      <c r="B34" s="614"/>
      <c r="C34" s="615"/>
      <c r="D34" s="616"/>
      <c r="E34" s="289" t="s">
        <v>190</v>
      </c>
      <c r="F34" s="603" t="s">
        <v>385</v>
      </c>
      <c r="G34" s="604"/>
      <c r="H34" s="595"/>
      <c r="I34" s="596"/>
      <c r="J34" s="596"/>
      <c r="K34" s="596"/>
      <c r="L34" s="596"/>
      <c r="M34" s="596"/>
      <c r="N34" s="596"/>
      <c r="O34" s="596"/>
      <c r="P34" s="596"/>
      <c r="Q34" s="597"/>
      <c r="R34" s="299"/>
      <c r="S34" s="193"/>
      <c r="T34" s="1"/>
      <c r="U34" s="1"/>
      <c r="V34" s="1"/>
      <c r="Y34" s="1"/>
      <c r="Z34" s="1"/>
    </row>
    <row r="35" spans="1:26" ht="22.5" customHeight="1">
      <c r="A35" s="291"/>
      <c r="B35" s="617" t="s">
        <v>330</v>
      </c>
      <c r="C35" s="618"/>
      <c r="D35" s="619"/>
      <c r="E35" s="626" t="s">
        <v>192</v>
      </c>
      <c r="F35" s="603" t="str">
        <f>参照ﾃﾞｰﾀ!AL11</f>
        <v>はやとり</v>
      </c>
      <c r="G35" s="604"/>
      <c r="H35" s="595"/>
      <c r="I35" s="596"/>
      <c r="J35" s="596"/>
      <c r="K35" s="596"/>
      <c r="L35" s="596"/>
      <c r="M35" s="596"/>
      <c r="N35" s="596"/>
      <c r="O35" s="596"/>
      <c r="P35" s="596"/>
      <c r="Q35" s="597"/>
      <c r="R35" s="299"/>
      <c r="S35" s="193"/>
      <c r="T35" s="1"/>
      <c r="U35" s="1"/>
      <c r="V35" s="1"/>
      <c r="Y35" s="1"/>
      <c r="Z35" s="1"/>
    </row>
    <row r="36" spans="1:26" ht="15" customHeight="1">
      <c r="A36" s="291"/>
      <c r="B36" s="620"/>
      <c r="C36" s="621"/>
      <c r="D36" s="622"/>
      <c r="E36" s="627"/>
      <c r="F36" s="603"/>
      <c r="G36" s="604"/>
      <c r="H36" s="595"/>
      <c r="I36" s="596"/>
      <c r="J36" s="596"/>
      <c r="K36" s="596"/>
      <c r="L36" s="596"/>
      <c r="M36" s="596"/>
      <c r="N36" s="596"/>
      <c r="O36" s="596"/>
      <c r="P36" s="596"/>
      <c r="Q36" s="597"/>
      <c r="R36" s="299"/>
      <c r="S36" s="193"/>
      <c r="T36" s="1"/>
      <c r="U36" s="1"/>
      <c r="V36" s="1"/>
      <c r="Y36" s="1"/>
      <c r="Z36" s="1"/>
    </row>
    <row r="37" spans="1:26" ht="15" customHeight="1">
      <c r="A37" s="291"/>
      <c r="B37" s="620"/>
      <c r="C37" s="621"/>
      <c r="D37" s="622"/>
      <c r="E37" s="288" t="s">
        <v>191</v>
      </c>
      <c r="F37" s="605">
        <v>43359</v>
      </c>
      <c r="G37" s="602"/>
      <c r="H37" s="595"/>
      <c r="I37" s="596"/>
      <c r="J37" s="596"/>
      <c r="K37" s="596"/>
      <c r="L37" s="596"/>
      <c r="M37" s="596"/>
      <c r="N37" s="596"/>
      <c r="O37" s="596"/>
      <c r="P37" s="596"/>
      <c r="Q37" s="597"/>
      <c r="R37" s="299"/>
      <c r="S37" s="193"/>
      <c r="T37" s="1"/>
      <c r="U37" s="1"/>
      <c r="V37" s="1"/>
      <c r="Y37" s="1"/>
      <c r="Z37" s="1"/>
    </row>
    <row r="38" spans="1:26" ht="15">
      <c r="A38" s="291"/>
      <c r="B38" s="620"/>
      <c r="C38" s="621"/>
      <c r="D38" s="622"/>
      <c r="E38" s="289" t="s">
        <v>205</v>
      </c>
      <c r="F38" s="603" t="s">
        <v>372</v>
      </c>
      <c r="G38" s="604"/>
      <c r="H38" s="595"/>
      <c r="I38" s="596"/>
      <c r="J38" s="596"/>
      <c r="K38" s="596"/>
      <c r="L38" s="596"/>
      <c r="M38" s="596"/>
      <c r="N38" s="596"/>
      <c r="O38" s="596"/>
      <c r="P38" s="596"/>
      <c r="Q38" s="597"/>
      <c r="R38" s="299"/>
      <c r="S38" s="193"/>
      <c r="T38" s="1"/>
      <c r="U38" s="1"/>
      <c r="V38" s="1"/>
      <c r="Y38" s="1"/>
      <c r="Z38" s="1"/>
    </row>
    <row r="39" spans="1:26" ht="30">
      <c r="A39" s="291"/>
      <c r="B39" s="620"/>
      <c r="C39" s="621"/>
      <c r="D39" s="622"/>
      <c r="E39" s="289" t="s">
        <v>192</v>
      </c>
      <c r="F39" s="603" t="str">
        <f>参照ﾃﾞｰﾀ!AL13</f>
        <v>波勝</v>
      </c>
      <c r="G39" s="604"/>
      <c r="H39" s="595"/>
      <c r="I39" s="596"/>
      <c r="J39" s="596"/>
      <c r="K39" s="596"/>
      <c r="L39" s="596"/>
      <c r="M39" s="596"/>
      <c r="N39" s="596"/>
      <c r="O39" s="596"/>
      <c r="P39" s="596"/>
      <c r="Q39" s="597"/>
      <c r="R39" s="299"/>
      <c r="S39" s="193"/>
      <c r="T39" s="1"/>
      <c r="U39" s="1"/>
      <c r="V39" s="1"/>
      <c r="Y39" s="1"/>
      <c r="Z39" s="1"/>
    </row>
    <row r="40" spans="1:26" ht="15">
      <c r="A40" s="291"/>
      <c r="B40" s="620"/>
      <c r="C40" s="621"/>
      <c r="D40" s="622"/>
      <c r="E40" s="289"/>
      <c r="F40" s="603"/>
      <c r="G40" s="604"/>
      <c r="H40" s="595"/>
      <c r="I40" s="596"/>
      <c r="J40" s="596"/>
      <c r="K40" s="596"/>
      <c r="L40" s="596"/>
      <c r="M40" s="596"/>
      <c r="N40" s="596"/>
      <c r="O40" s="596"/>
      <c r="P40" s="596"/>
      <c r="Q40" s="597"/>
      <c r="R40" s="299"/>
      <c r="S40" s="193"/>
      <c r="T40" s="1"/>
      <c r="U40" s="1"/>
      <c r="V40" s="1"/>
      <c r="Y40" s="1"/>
      <c r="Z40" s="1"/>
    </row>
    <row r="41" spans="1:26" ht="11.25" customHeight="1" thickBot="1">
      <c r="A41" s="291"/>
      <c r="B41" s="623"/>
      <c r="C41" s="624"/>
      <c r="D41" s="625"/>
      <c r="E41" s="290"/>
      <c r="F41" s="628"/>
      <c r="G41" s="629"/>
      <c r="H41" s="598"/>
      <c r="I41" s="599"/>
      <c r="J41" s="599"/>
      <c r="K41" s="599"/>
      <c r="L41" s="599"/>
      <c r="M41" s="599"/>
      <c r="N41" s="599"/>
      <c r="O41" s="599"/>
      <c r="P41" s="599"/>
      <c r="Q41" s="600"/>
      <c r="R41" s="299"/>
      <c r="S41" s="193"/>
      <c r="T41" s="1"/>
      <c r="U41" s="1"/>
      <c r="V41" s="1"/>
      <c r="W41" s="1"/>
      <c r="X41" s="1"/>
      <c r="Y41" s="1"/>
      <c r="Z41" s="1"/>
    </row>
    <row r="42" spans="1:26">
      <c r="A42" s="291"/>
      <c r="B42" s="204"/>
      <c r="C42" s="204"/>
      <c r="D42" s="204"/>
      <c r="E42" s="204"/>
      <c r="F42" s="204"/>
      <c r="G42" s="204"/>
      <c r="H42" s="204"/>
      <c r="I42" s="204"/>
      <c r="J42" s="204"/>
      <c r="K42" s="204"/>
      <c r="L42" s="204"/>
      <c r="M42" s="204"/>
      <c r="N42" s="204"/>
      <c r="O42" s="204"/>
      <c r="P42" s="204"/>
      <c r="Q42" s="204"/>
      <c r="R42" s="204"/>
      <c r="S42" s="204"/>
    </row>
    <row r="43" spans="1:26">
      <c r="A43" s="292"/>
      <c r="B43" s="292"/>
      <c r="C43" s="292"/>
      <c r="D43" s="292"/>
      <c r="E43" s="292"/>
      <c r="F43" s="292"/>
      <c r="G43" s="292"/>
      <c r="H43" s="292"/>
      <c r="I43" s="292"/>
      <c r="J43" s="292"/>
      <c r="K43" s="292"/>
      <c r="L43" s="292"/>
      <c r="M43" s="292"/>
      <c r="N43" s="292"/>
      <c r="O43" s="292"/>
      <c r="P43" s="292"/>
      <c r="Q43" s="292"/>
      <c r="R43" s="292"/>
      <c r="S43" s="292"/>
    </row>
  </sheetData>
  <sheetProtection algorithmName="SHA-512" hashValue="pOWei8yX64oK5i+KACdkk9n/4J72CKMSWKIX8KvHozZcm9jy0NQb75+bFsaf7NzKmMsYLZoICM9jo+9Qw5pcHQ==" saltValue="jEOxprdMdW/13N7B7Gfhdw==" spinCount="100000" sheet="1" objects="1" scenarios="1"/>
  <sortState ref="C7:K17">
    <sortCondition ref="K7:K17"/>
  </sortState>
  <mergeCells count="18">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D2:F2"/>
    <mergeCell ref="E3:I3"/>
    <mergeCell ref="J3:K3"/>
  </mergeCells>
  <phoneticPr fontId="42"/>
  <dataValidations count="9">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R2">
      <formula1>時刻</formula1>
    </dataValidation>
    <dataValidation type="list" allowBlank="1" showInputMessage="1" showErrorMessage="1" sqref="P2 F37:G37">
      <formula1>開催日</formula1>
    </dataValidation>
    <dataValidation type="list" errorStyle="information" allowBlank="1" showInputMessage="1" showErrorMessage="1" sqref="F38:G38">
      <formula1>コース</formula1>
    </dataValidation>
  </dataValidations>
  <pageMargins left="0.31496062992125984" right="0" top="0.35433070866141736" bottom="0.19685039370078741" header="0" footer="0"/>
  <pageSetup paperSize="9" orientation="landscape"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41"/>
  <sheetViews>
    <sheetView zoomScale="85" zoomScaleNormal="85" workbookViewId="0">
      <selection activeCell="H32" sqref="H32:Q41"/>
    </sheetView>
  </sheetViews>
  <sheetFormatPr defaultRowHeight="13.5"/>
  <cols>
    <col min="1" max="1" width="1.75" style="301" customWidth="1"/>
    <col min="2" max="2" width="5" style="301" customWidth="1"/>
    <col min="3" max="3" width="7" style="301" customWidth="1"/>
    <col min="4" max="4" width="18" style="301" customWidth="1"/>
    <col min="5" max="5" width="8" style="301" customWidth="1"/>
    <col min="6" max="6" width="5" style="301" customWidth="1"/>
    <col min="7" max="7" width="10.875" style="301" customWidth="1"/>
    <col min="8" max="8" width="8.375" style="301" customWidth="1"/>
    <col min="9" max="9" width="8.625" style="301" customWidth="1"/>
    <col min="10" max="10" width="5" style="301" customWidth="1"/>
    <col min="11" max="11" width="8.5" style="301" customWidth="1"/>
    <col min="12" max="12" width="10.875" style="301" customWidth="1"/>
    <col min="13" max="13" width="9.5" style="301" customWidth="1"/>
    <col min="14" max="14" width="7.875" style="301" customWidth="1"/>
    <col min="15" max="15" width="8" style="301" customWidth="1"/>
    <col min="16" max="16" width="11.25" style="301" customWidth="1"/>
    <col min="17" max="17" width="12.25" style="301" customWidth="1"/>
    <col min="18" max="18" width="4.875" style="301" customWidth="1"/>
    <col min="19" max="21" width="7.625" style="301" customWidth="1"/>
    <col min="22" max="22" width="7.75" style="301" customWidth="1"/>
    <col min="23" max="24" width="7.625" style="301" customWidth="1"/>
    <col min="25" max="25" width="4.5" style="301" customWidth="1"/>
    <col min="26" max="28" width="8" style="301" customWidth="1"/>
    <col min="29" max="16384" width="9" style="301"/>
  </cols>
  <sheetData>
    <row r="1" spans="2:28" ht="9.75" customHeight="1" thickBot="1"/>
    <row r="2" spans="2:28" ht="21">
      <c r="B2" s="302"/>
      <c r="C2" s="361"/>
      <c r="D2" s="630" t="str">
        <f>参照ﾃﾞｰﾀ!P4</f>
        <v>2018年</v>
      </c>
      <c r="E2" s="630"/>
      <c r="F2" s="630"/>
      <c r="G2" s="362" t="s">
        <v>201</v>
      </c>
      <c r="H2" s="363"/>
      <c r="I2" s="364"/>
      <c r="J2" s="302"/>
      <c r="K2" s="365"/>
      <c r="L2" s="302"/>
      <c r="M2" s="366" t="s">
        <v>53</v>
      </c>
      <c r="N2" s="367" t="s">
        <v>63</v>
      </c>
      <c r="O2" s="368" t="s">
        <v>55</v>
      </c>
      <c r="P2" s="369">
        <v>43352</v>
      </c>
      <c r="Q2" s="370">
        <v>0</v>
      </c>
      <c r="R2" s="302"/>
      <c r="S2" s="303" t="s">
        <v>2</v>
      </c>
      <c r="T2" s="302"/>
      <c r="U2" s="302"/>
      <c r="V2" s="302"/>
      <c r="W2" s="302"/>
      <c r="X2" s="302"/>
      <c r="Y2" s="302"/>
    </row>
    <row r="3" spans="2:28" ht="21.75" customHeight="1" thickBot="1">
      <c r="B3" s="302"/>
      <c r="D3" s="371" t="s">
        <v>238</v>
      </c>
      <c r="E3" s="631" t="s">
        <v>66</v>
      </c>
      <c r="F3" s="631"/>
      <c r="G3" s="631"/>
      <c r="H3" s="631"/>
      <c r="I3" s="631"/>
      <c r="J3" s="632" t="s">
        <v>88</v>
      </c>
      <c r="K3" s="632"/>
      <c r="L3" s="372"/>
      <c r="M3" s="373" t="s">
        <v>77</v>
      </c>
      <c r="N3" s="374">
        <f>IF(ISBLANK(N2),"",VLOOKUP(N2,コース・距離,2,FALSE))</f>
        <v>26.6</v>
      </c>
      <c r="O3" s="375" t="s">
        <v>0</v>
      </c>
      <c r="P3" s="376"/>
      <c r="Q3" s="377" t="s">
        <v>1</v>
      </c>
      <c r="R3" s="302"/>
      <c r="S3" s="302" t="s">
        <v>265</v>
      </c>
      <c r="T3" s="302"/>
      <c r="U3" s="302"/>
      <c r="V3" s="303" t="s">
        <v>2</v>
      </c>
      <c r="W3" s="304"/>
      <c r="X3" s="304"/>
      <c r="Y3" s="302"/>
      <c r="Z3" s="305" t="s">
        <v>78</v>
      </c>
    </row>
    <row r="4" spans="2:28" ht="7.5" customHeight="1" thickBot="1">
      <c r="B4" s="302"/>
      <c r="C4" s="302"/>
      <c r="D4" s="302"/>
      <c r="E4" s="302"/>
      <c r="F4" s="302"/>
      <c r="G4" s="302"/>
      <c r="H4" s="302"/>
      <c r="I4" s="302"/>
      <c r="J4" s="302"/>
      <c r="K4" s="302"/>
      <c r="L4" s="302"/>
      <c r="M4" s="302"/>
      <c r="N4" s="302"/>
      <c r="O4" s="302"/>
      <c r="P4" s="302"/>
      <c r="Q4" s="302"/>
      <c r="R4" s="302"/>
      <c r="S4" s="302"/>
      <c r="T4" s="302"/>
      <c r="U4" s="302"/>
      <c r="V4" s="306"/>
      <c r="W4" s="304"/>
      <c r="X4" s="304"/>
      <c r="Y4" s="302"/>
    </row>
    <row r="5" spans="2:28" ht="14.25">
      <c r="B5" s="378" t="s">
        <v>3</v>
      </c>
      <c r="C5" s="307" t="s">
        <v>4</v>
      </c>
      <c r="D5" s="307" t="s">
        <v>5</v>
      </c>
      <c r="E5" s="307" t="s">
        <v>6</v>
      </c>
      <c r="F5" s="307" t="s">
        <v>7</v>
      </c>
      <c r="G5" s="307" t="s">
        <v>8</v>
      </c>
      <c r="H5" s="307" t="s">
        <v>9</v>
      </c>
      <c r="I5" s="307" t="s">
        <v>10</v>
      </c>
      <c r="J5" s="307" t="s">
        <v>11</v>
      </c>
      <c r="K5" s="307" t="s">
        <v>12</v>
      </c>
      <c r="L5" s="379" t="s">
        <v>368</v>
      </c>
      <c r="M5" s="379" t="s">
        <v>369</v>
      </c>
      <c r="N5" s="307" t="s">
        <v>73</v>
      </c>
      <c r="O5" s="307" t="s">
        <v>13</v>
      </c>
      <c r="P5" s="633" t="s">
        <v>72</v>
      </c>
      <c r="Q5" s="634"/>
      <c r="R5" s="308"/>
      <c r="S5" s="309" t="s">
        <v>10</v>
      </c>
      <c r="T5" s="307" t="s">
        <v>10</v>
      </c>
      <c r="U5" s="310" t="s">
        <v>10</v>
      </c>
      <c r="V5" s="309" t="s">
        <v>10</v>
      </c>
      <c r="W5" s="307" t="s">
        <v>10</v>
      </c>
      <c r="X5" s="310" t="s">
        <v>10</v>
      </c>
      <c r="Y5" s="308"/>
      <c r="Z5" s="309" t="s">
        <v>13</v>
      </c>
      <c r="AA5" s="307" t="s">
        <v>13</v>
      </c>
      <c r="AB5" s="310" t="s">
        <v>13</v>
      </c>
    </row>
    <row r="6" spans="2:28" ht="14.25">
      <c r="B6" s="380"/>
      <c r="C6" s="381" t="s">
        <v>14</v>
      </c>
      <c r="D6" s="382"/>
      <c r="E6" s="383" t="s">
        <v>15</v>
      </c>
      <c r="F6" s="383"/>
      <c r="G6" s="381" t="s">
        <v>16</v>
      </c>
      <c r="H6" s="383" t="s">
        <v>17</v>
      </c>
      <c r="I6" s="381" t="s">
        <v>166</v>
      </c>
      <c r="J6" s="383" t="s">
        <v>18</v>
      </c>
      <c r="K6" s="383" t="s">
        <v>17</v>
      </c>
      <c r="L6" s="381" t="s">
        <v>16</v>
      </c>
      <c r="M6" s="383" t="s">
        <v>47</v>
      </c>
      <c r="N6" s="383" t="s">
        <v>19</v>
      </c>
      <c r="O6" s="311">
        <f>IF(ISBLANK(N2),"",VLOOKUP(N2,コース・距離,3,FALSE))</f>
        <v>0</v>
      </c>
      <c r="P6" s="384"/>
      <c r="Q6" s="385"/>
      <c r="R6" s="312"/>
      <c r="S6" s="313" t="s">
        <v>20</v>
      </c>
      <c r="T6" s="311" t="s">
        <v>22</v>
      </c>
      <c r="U6" s="314" t="s">
        <v>21</v>
      </c>
      <c r="V6" s="313" t="s">
        <v>20</v>
      </c>
      <c r="W6" s="311" t="s">
        <v>22</v>
      </c>
      <c r="X6" s="314" t="s">
        <v>21</v>
      </c>
      <c r="Y6" s="312"/>
      <c r="Z6" s="313" t="s">
        <v>80</v>
      </c>
      <c r="AA6" s="311" t="s">
        <v>81</v>
      </c>
      <c r="AB6" s="314" t="s">
        <v>82</v>
      </c>
    </row>
    <row r="7" spans="2:28" ht="14.25">
      <c r="B7" s="386">
        <v>1</v>
      </c>
      <c r="C7" s="387"/>
      <c r="D7" s="388" t="str">
        <f t="shared" ref="D7:D31" si="0">IF(ISBLANK(C7),"",VLOOKUP(C7,各艇データ,2,FALSE))</f>
        <v/>
      </c>
      <c r="E7" s="389" t="str">
        <f t="shared" ref="E7:E16" si="1">IF($I$6="Ⅰ",S7,IF($I$6="Ⅱ",T7,IF($I$6="Ⅲ",U7,"")))</f>
        <v/>
      </c>
      <c r="F7" s="390"/>
      <c r="G7" s="391"/>
      <c r="H7" s="387" t="str">
        <f t="shared" ref="H7:H27" si="2">IFERROR(IF(G7-$Q$2&lt;=0,"",(G7-$Q$2)*86400),"")</f>
        <v/>
      </c>
      <c r="I7" s="392" t="str">
        <f t="shared" ref="I7:I25" si="3">IF($I$6="Ⅰ",V7,IF($I$6="Ⅱ",W7,IF($I$6="Ⅲ",X7,"")))</f>
        <v/>
      </c>
      <c r="J7" s="389"/>
      <c r="K7" s="393" t="str">
        <f t="shared" ref="K7:K27" si="4">IFERROR(H7*(1+0.01*J7)-I7*$N$3,"")</f>
        <v/>
      </c>
      <c r="L7" s="391" t="str">
        <f t="shared" ref="L7:L16" si="5">IFERROR((K7-$K$7)/86400,"")</f>
        <v/>
      </c>
      <c r="M7" s="394" t="str">
        <f t="shared" ref="M7:M16" si="6">IFERROR((K7-$K$7)/$N$3,"")</f>
        <v/>
      </c>
      <c r="N7" s="395" t="str">
        <f t="shared" ref="N7:N16" si="7">IFERROR($N$3/(H7/3600),"")</f>
        <v/>
      </c>
      <c r="O7" s="315"/>
      <c r="P7" s="396"/>
      <c r="Q7" s="397"/>
      <c r="R7" s="308"/>
      <c r="S7" s="316" t="str">
        <f t="shared" ref="S7:S31" si="8">IF(ISBLANK(C7),"",VLOOKUP(C7,各艇データ,3,FALSE))</f>
        <v/>
      </c>
      <c r="T7" s="317" t="str">
        <f t="shared" ref="T7:T31" si="9">IF(ISBLANK(C7),"",VLOOKUP(C7,各艇データ,4,FALSE))</f>
        <v/>
      </c>
      <c r="U7" s="318" t="str">
        <f t="shared" ref="U7:U31" si="10">IF(ISBLANK(C7),"",VLOOKUP(C7,各艇データ,5,FALSE))</f>
        <v/>
      </c>
      <c r="V7" s="319" t="str">
        <f t="shared" ref="V7:V31" si="11">IF(ISBLANK(C7),"",VLOOKUP(C7,各艇データ,6,FALSE))</f>
        <v/>
      </c>
      <c r="W7" s="320" t="str">
        <f t="shared" ref="W7:W31" si="12">IF(ISBLANK(C7),"",VLOOKUP(C7,各艇データ,7,FALSE))</f>
        <v/>
      </c>
      <c r="X7" s="321" t="str">
        <f t="shared" ref="X7:X31" si="13">IF(ISBLANK(C7),"",VLOOKUP(C7,各艇データ,8,FALSE))</f>
        <v/>
      </c>
      <c r="Y7" s="308"/>
      <c r="Z7" s="322" t="str">
        <f>IF(ISBLANK(B7),"",IFERROR(20*($P$3+1-$B7)/$P$3,"20.0"))</f>
        <v>20.0</v>
      </c>
      <c r="AA7" s="315" t="str">
        <f>IF(ISBLANK(B7),"",IFERROR(30*($P$3+1-$B7)/$P$3,"30.0"))</f>
        <v>30.0</v>
      </c>
      <c r="AB7" s="323">
        <f>IF(ISBLANK(B7),"",IFERROR(30*($P$3-$B7)/($P$3-1)+10,"20.0"))</f>
        <v>40</v>
      </c>
    </row>
    <row r="8" spans="2:28" ht="14.25">
      <c r="B8" s="398">
        <v>2</v>
      </c>
      <c r="C8" s="399"/>
      <c r="D8" s="400" t="str">
        <f t="shared" si="0"/>
        <v/>
      </c>
      <c r="E8" s="401" t="str">
        <f t="shared" si="1"/>
        <v/>
      </c>
      <c r="F8" s="402"/>
      <c r="G8" s="403"/>
      <c r="H8" s="399" t="str">
        <f t="shared" si="2"/>
        <v/>
      </c>
      <c r="I8" s="404" t="str">
        <f t="shared" si="3"/>
        <v/>
      </c>
      <c r="J8" s="401"/>
      <c r="K8" s="405" t="str">
        <f t="shared" si="4"/>
        <v/>
      </c>
      <c r="L8" s="403" t="str">
        <f t="shared" si="5"/>
        <v/>
      </c>
      <c r="M8" s="406" t="str">
        <f t="shared" si="6"/>
        <v/>
      </c>
      <c r="N8" s="407" t="str">
        <f t="shared" si="7"/>
        <v/>
      </c>
      <c r="O8" s="408"/>
      <c r="P8" s="409"/>
      <c r="Q8" s="410"/>
      <c r="R8" s="308"/>
      <c r="S8" s="316" t="str">
        <f t="shared" si="8"/>
        <v/>
      </c>
      <c r="T8" s="317" t="str">
        <f t="shared" si="9"/>
        <v/>
      </c>
      <c r="U8" s="318" t="str">
        <f t="shared" si="10"/>
        <v/>
      </c>
      <c r="V8" s="319" t="str">
        <f t="shared" si="11"/>
        <v/>
      </c>
      <c r="W8" s="320" t="str">
        <f t="shared" si="12"/>
        <v/>
      </c>
      <c r="X8" s="321" t="str">
        <f t="shared" si="13"/>
        <v/>
      </c>
      <c r="Y8" s="308"/>
      <c r="Z8" s="322" t="str">
        <f t="shared" ref="Z8:Z31" si="14">IF(ISBLANK(B8),"",IFERROR(20*($P$3+1-$B8)/$P$3,"20.0"))</f>
        <v>20.0</v>
      </c>
      <c r="AA8" s="315" t="str">
        <f t="shared" ref="AA8:AA31" si="15">IF(ISBLANK(B8),"",IFERROR(30*($P$3+1-$B8)/$P$3,"30.0"))</f>
        <v>30.0</v>
      </c>
      <c r="AB8" s="323">
        <f t="shared" ref="AB8:AB31" si="16">IF(ISBLANK(B8),"",IFERROR(30*($P$3-$B8)/($P$3-1)+10,"20.0"))</f>
        <v>70</v>
      </c>
    </row>
    <row r="9" spans="2:28" ht="14.25">
      <c r="B9" s="398">
        <v>3</v>
      </c>
      <c r="C9" s="399"/>
      <c r="D9" s="400" t="str">
        <f t="shared" si="0"/>
        <v/>
      </c>
      <c r="E9" s="401" t="str">
        <f t="shared" si="1"/>
        <v/>
      </c>
      <c r="F9" s="402"/>
      <c r="G9" s="403"/>
      <c r="H9" s="399" t="str">
        <f t="shared" si="2"/>
        <v/>
      </c>
      <c r="I9" s="404" t="str">
        <f t="shared" si="3"/>
        <v/>
      </c>
      <c r="J9" s="401"/>
      <c r="K9" s="405" t="str">
        <f t="shared" si="4"/>
        <v/>
      </c>
      <c r="L9" s="403" t="str">
        <f t="shared" si="5"/>
        <v/>
      </c>
      <c r="M9" s="406" t="str">
        <f t="shared" si="6"/>
        <v/>
      </c>
      <c r="N9" s="407" t="str">
        <f t="shared" si="7"/>
        <v/>
      </c>
      <c r="O9" s="408"/>
      <c r="P9" s="409"/>
      <c r="Q9" s="410"/>
      <c r="R9" s="308"/>
      <c r="S9" s="316" t="str">
        <f t="shared" si="8"/>
        <v/>
      </c>
      <c r="T9" s="317" t="str">
        <f t="shared" si="9"/>
        <v/>
      </c>
      <c r="U9" s="318" t="str">
        <f t="shared" si="10"/>
        <v/>
      </c>
      <c r="V9" s="319" t="str">
        <f t="shared" si="11"/>
        <v/>
      </c>
      <c r="W9" s="320" t="str">
        <f t="shared" si="12"/>
        <v/>
      </c>
      <c r="X9" s="321" t="str">
        <f t="shared" si="13"/>
        <v/>
      </c>
      <c r="Y9" s="308"/>
      <c r="Z9" s="322" t="str">
        <f t="shared" si="14"/>
        <v>20.0</v>
      </c>
      <c r="AA9" s="315" t="str">
        <f t="shared" si="15"/>
        <v>30.0</v>
      </c>
      <c r="AB9" s="323">
        <f t="shared" si="16"/>
        <v>100</v>
      </c>
    </row>
    <row r="10" spans="2:28" ht="14.25">
      <c r="B10" s="398">
        <v>4</v>
      </c>
      <c r="C10" s="399"/>
      <c r="D10" s="400" t="str">
        <f t="shared" si="0"/>
        <v/>
      </c>
      <c r="E10" s="401" t="str">
        <f t="shared" si="1"/>
        <v/>
      </c>
      <c r="F10" s="402"/>
      <c r="G10" s="403"/>
      <c r="H10" s="399" t="str">
        <f t="shared" si="2"/>
        <v/>
      </c>
      <c r="I10" s="404" t="str">
        <f t="shared" si="3"/>
        <v/>
      </c>
      <c r="J10" s="401"/>
      <c r="K10" s="405" t="str">
        <f t="shared" si="4"/>
        <v/>
      </c>
      <c r="L10" s="403" t="str">
        <f t="shared" si="5"/>
        <v/>
      </c>
      <c r="M10" s="406" t="str">
        <f t="shared" si="6"/>
        <v/>
      </c>
      <c r="N10" s="407" t="str">
        <f t="shared" si="7"/>
        <v/>
      </c>
      <c r="O10" s="408"/>
      <c r="P10" s="411"/>
      <c r="Q10" s="410"/>
      <c r="R10" s="308"/>
      <c r="S10" s="316" t="str">
        <f t="shared" si="8"/>
        <v/>
      </c>
      <c r="T10" s="317" t="str">
        <f t="shared" si="9"/>
        <v/>
      </c>
      <c r="U10" s="318" t="str">
        <f t="shared" si="10"/>
        <v/>
      </c>
      <c r="V10" s="319" t="str">
        <f t="shared" si="11"/>
        <v/>
      </c>
      <c r="W10" s="320" t="str">
        <f t="shared" si="12"/>
        <v/>
      </c>
      <c r="X10" s="321" t="str">
        <f t="shared" si="13"/>
        <v/>
      </c>
      <c r="Y10" s="308"/>
      <c r="Z10" s="322" t="str">
        <f t="shared" si="14"/>
        <v>20.0</v>
      </c>
      <c r="AA10" s="315" t="str">
        <f t="shared" si="15"/>
        <v>30.0</v>
      </c>
      <c r="AB10" s="323">
        <f t="shared" si="16"/>
        <v>130</v>
      </c>
    </row>
    <row r="11" spans="2:28" ht="14.25">
      <c r="B11" s="412">
        <v>5</v>
      </c>
      <c r="C11" s="413"/>
      <c r="D11" s="414" t="str">
        <f t="shared" si="0"/>
        <v/>
      </c>
      <c r="E11" s="415" t="str">
        <f t="shared" si="1"/>
        <v/>
      </c>
      <c r="F11" s="416"/>
      <c r="G11" s="417"/>
      <c r="H11" s="418" t="str">
        <f t="shared" si="2"/>
        <v/>
      </c>
      <c r="I11" s="419" t="str">
        <f t="shared" si="3"/>
        <v/>
      </c>
      <c r="J11" s="420"/>
      <c r="K11" s="421" t="str">
        <f t="shared" si="4"/>
        <v/>
      </c>
      <c r="L11" s="422" t="str">
        <f t="shared" si="5"/>
        <v/>
      </c>
      <c r="M11" s="423" t="str">
        <f t="shared" si="6"/>
        <v/>
      </c>
      <c r="N11" s="424" t="str">
        <f t="shared" si="7"/>
        <v/>
      </c>
      <c r="O11" s="425"/>
      <c r="P11" s="426"/>
      <c r="Q11" s="427"/>
      <c r="R11" s="308"/>
      <c r="S11" s="316" t="str">
        <f t="shared" si="8"/>
        <v/>
      </c>
      <c r="T11" s="317" t="str">
        <f t="shared" si="9"/>
        <v/>
      </c>
      <c r="U11" s="318" t="str">
        <f t="shared" si="10"/>
        <v/>
      </c>
      <c r="V11" s="319" t="str">
        <f t="shared" si="11"/>
        <v/>
      </c>
      <c r="W11" s="320" t="str">
        <f t="shared" si="12"/>
        <v/>
      </c>
      <c r="X11" s="321" t="str">
        <f t="shared" si="13"/>
        <v/>
      </c>
      <c r="Y11" s="308"/>
      <c r="Z11" s="322" t="str">
        <f t="shared" si="14"/>
        <v>20.0</v>
      </c>
      <c r="AA11" s="315" t="str">
        <f t="shared" si="15"/>
        <v>30.0</v>
      </c>
      <c r="AB11" s="323">
        <f t="shared" si="16"/>
        <v>160</v>
      </c>
    </row>
    <row r="12" spans="2:28" ht="14.25">
      <c r="B12" s="386">
        <v>6</v>
      </c>
      <c r="C12" s="387"/>
      <c r="D12" s="388" t="str">
        <f t="shared" si="0"/>
        <v/>
      </c>
      <c r="E12" s="389" t="str">
        <f t="shared" si="1"/>
        <v/>
      </c>
      <c r="F12" s="390"/>
      <c r="G12" s="391"/>
      <c r="H12" s="387" t="str">
        <f t="shared" si="2"/>
        <v/>
      </c>
      <c r="I12" s="392" t="str">
        <f t="shared" si="3"/>
        <v/>
      </c>
      <c r="J12" s="389"/>
      <c r="K12" s="393" t="str">
        <f t="shared" si="4"/>
        <v/>
      </c>
      <c r="L12" s="391" t="str">
        <f t="shared" si="5"/>
        <v/>
      </c>
      <c r="M12" s="394" t="str">
        <f t="shared" si="6"/>
        <v/>
      </c>
      <c r="N12" s="395" t="str">
        <f t="shared" si="7"/>
        <v/>
      </c>
      <c r="O12" s="315"/>
      <c r="Q12" s="397"/>
      <c r="R12" s="308"/>
      <c r="S12" s="316" t="str">
        <f t="shared" si="8"/>
        <v/>
      </c>
      <c r="T12" s="317" t="str">
        <f t="shared" si="9"/>
        <v/>
      </c>
      <c r="U12" s="318" t="str">
        <f t="shared" si="10"/>
        <v/>
      </c>
      <c r="V12" s="319" t="str">
        <f t="shared" si="11"/>
        <v/>
      </c>
      <c r="W12" s="320" t="str">
        <f t="shared" si="12"/>
        <v/>
      </c>
      <c r="X12" s="321" t="str">
        <f t="shared" si="13"/>
        <v/>
      </c>
      <c r="Y12" s="308"/>
      <c r="Z12" s="322" t="str">
        <f t="shared" si="14"/>
        <v>20.0</v>
      </c>
      <c r="AA12" s="315" t="str">
        <f t="shared" si="15"/>
        <v>30.0</v>
      </c>
      <c r="AB12" s="323">
        <f t="shared" si="16"/>
        <v>190</v>
      </c>
    </row>
    <row r="13" spans="2:28" ht="14.25">
      <c r="B13" s="398">
        <v>7</v>
      </c>
      <c r="C13" s="399"/>
      <c r="D13" s="400" t="str">
        <f t="shared" si="0"/>
        <v/>
      </c>
      <c r="E13" s="401" t="str">
        <f t="shared" si="1"/>
        <v/>
      </c>
      <c r="F13" s="402"/>
      <c r="G13" s="403"/>
      <c r="H13" s="399" t="str">
        <f t="shared" si="2"/>
        <v/>
      </c>
      <c r="I13" s="404" t="str">
        <f t="shared" si="3"/>
        <v/>
      </c>
      <c r="J13" s="401"/>
      <c r="K13" s="405" t="str">
        <f t="shared" si="4"/>
        <v/>
      </c>
      <c r="L13" s="403" t="str">
        <f t="shared" si="5"/>
        <v/>
      </c>
      <c r="M13" s="406" t="str">
        <f t="shared" si="6"/>
        <v/>
      </c>
      <c r="N13" s="407" t="str">
        <f t="shared" si="7"/>
        <v/>
      </c>
      <c r="O13" s="408"/>
      <c r="P13" s="409"/>
      <c r="Q13" s="410"/>
      <c r="R13" s="308"/>
      <c r="S13" s="316" t="str">
        <f t="shared" si="8"/>
        <v/>
      </c>
      <c r="T13" s="317" t="str">
        <f t="shared" si="9"/>
        <v/>
      </c>
      <c r="U13" s="318" t="str">
        <f t="shared" si="10"/>
        <v/>
      </c>
      <c r="V13" s="319" t="str">
        <f t="shared" si="11"/>
        <v/>
      </c>
      <c r="W13" s="320" t="str">
        <f t="shared" si="12"/>
        <v/>
      </c>
      <c r="X13" s="321" t="str">
        <f t="shared" si="13"/>
        <v/>
      </c>
      <c r="Y13" s="308"/>
      <c r="Z13" s="322" t="str">
        <f t="shared" si="14"/>
        <v>20.0</v>
      </c>
      <c r="AA13" s="315" t="str">
        <f t="shared" si="15"/>
        <v>30.0</v>
      </c>
      <c r="AB13" s="323">
        <f t="shared" si="16"/>
        <v>220</v>
      </c>
    </row>
    <row r="14" spans="2:28" ht="14.25">
      <c r="B14" s="398">
        <v>8</v>
      </c>
      <c r="C14" s="399"/>
      <c r="D14" s="400" t="str">
        <f t="shared" si="0"/>
        <v/>
      </c>
      <c r="E14" s="401" t="str">
        <f t="shared" si="1"/>
        <v/>
      </c>
      <c r="F14" s="402"/>
      <c r="G14" s="403"/>
      <c r="H14" s="399" t="str">
        <f t="shared" si="2"/>
        <v/>
      </c>
      <c r="I14" s="404" t="str">
        <f t="shared" si="3"/>
        <v/>
      </c>
      <c r="J14" s="401"/>
      <c r="K14" s="405" t="str">
        <f t="shared" si="4"/>
        <v/>
      </c>
      <c r="L14" s="403" t="str">
        <f t="shared" si="5"/>
        <v/>
      </c>
      <c r="M14" s="406" t="str">
        <f t="shared" si="6"/>
        <v/>
      </c>
      <c r="N14" s="407" t="str">
        <f t="shared" si="7"/>
        <v/>
      </c>
      <c r="O14" s="408"/>
      <c r="P14" s="409"/>
      <c r="Q14" s="410"/>
      <c r="R14" s="308"/>
      <c r="S14" s="316" t="str">
        <f t="shared" si="8"/>
        <v/>
      </c>
      <c r="T14" s="317" t="str">
        <f t="shared" si="9"/>
        <v/>
      </c>
      <c r="U14" s="318" t="str">
        <f t="shared" si="10"/>
        <v/>
      </c>
      <c r="V14" s="319" t="str">
        <f t="shared" si="11"/>
        <v/>
      </c>
      <c r="W14" s="320" t="str">
        <f t="shared" si="12"/>
        <v/>
      </c>
      <c r="X14" s="321" t="str">
        <f t="shared" si="13"/>
        <v/>
      </c>
      <c r="Y14" s="308"/>
      <c r="Z14" s="322" t="str">
        <f t="shared" si="14"/>
        <v>20.0</v>
      </c>
      <c r="AA14" s="315" t="str">
        <f t="shared" si="15"/>
        <v>30.0</v>
      </c>
      <c r="AB14" s="323">
        <f t="shared" si="16"/>
        <v>250</v>
      </c>
    </row>
    <row r="15" spans="2:28" ht="14.25">
      <c r="B15" s="398">
        <v>9</v>
      </c>
      <c r="C15" s="399"/>
      <c r="D15" s="400" t="str">
        <f t="shared" si="0"/>
        <v/>
      </c>
      <c r="E15" s="401" t="str">
        <f t="shared" si="1"/>
        <v/>
      </c>
      <c r="F15" s="402"/>
      <c r="G15" s="403"/>
      <c r="H15" s="399" t="str">
        <f t="shared" si="2"/>
        <v/>
      </c>
      <c r="I15" s="404" t="str">
        <f t="shared" si="3"/>
        <v/>
      </c>
      <c r="J15" s="401"/>
      <c r="K15" s="405" t="str">
        <f t="shared" si="4"/>
        <v/>
      </c>
      <c r="L15" s="403" t="str">
        <f t="shared" si="5"/>
        <v/>
      </c>
      <c r="M15" s="406" t="str">
        <f t="shared" si="6"/>
        <v/>
      </c>
      <c r="N15" s="407" t="str">
        <f t="shared" si="7"/>
        <v/>
      </c>
      <c r="O15" s="408"/>
      <c r="P15" s="409"/>
      <c r="Q15" s="410"/>
      <c r="R15" s="308"/>
      <c r="S15" s="316" t="str">
        <f t="shared" si="8"/>
        <v/>
      </c>
      <c r="T15" s="317" t="str">
        <f t="shared" si="9"/>
        <v/>
      </c>
      <c r="U15" s="318" t="str">
        <f t="shared" si="10"/>
        <v/>
      </c>
      <c r="V15" s="319" t="str">
        <f t="shared" si="11"/>
        <v/>
      </c>
      <c r="W15" s="320" t="str">
        <f t="shared" si="12"/>
        <v/>
      </c>
      <c r="X15" s="321" t="str">
        <f t="shared" si="13"/>
        <v/>
      </c>
      <c r="Y15" s="308"/>
      <c r="Z15" s="322" t="str">
        <f t="shared" si="14"/>
        <v>20.0</v>
      </c>
      <c r="AA15" s="315" t="str">
        <f t="shared" si="15"/>
        <v>30.0</v>
      </c>
      <c r="AB15" s="323">
        <f t="shared" si="16"/>
        <v>280</v>
      </c>
    </row>
    <row r="16" spans="2:28" ht="14.25">
      <c r="B16" s="412">
        <v>10</v>
      </c>
      <c r="C16" s="413"/>
      <c r="D16" s="414" t="str">
        <f t="shared" si="0"/>
        <v/>
      </c>
      <c r="E16" s="415" t="str">
        <f t="shared" si="1"/>
        <v/>
      </c>
      <c r="F16" s="416"/>
      <c r="G16" s="417"/>
      <c r="H16" s="413" t="str">
        <f t="shared" si="2"/>
        <v/>
      </c>
      <c r="I16" s="428" t="str">
        <f t="shared" si="3"/>
        <v/>
      </c>
      <c r="J16" s="415"/>
      <c r="K16" s="429" t="str">
        <f t="shared" si="4"/>
        <v/>
      </c>
      <c r="L16" s="417" t="str">
        <f t="shared" si="5"/>
        <v/>
      </c>
      <c r="M16" s="430" t="str">
        <f t="shared" si="6"/>
        <v/>
      </c>
      <c r="N16" s="431" t="str">
        <f t="shared" si="7"/>
        <v/>
      </c>
      <c r="O16" s="432"/>
      <c r="P16" s="426"/>
      <c r="Q16" s="427"/>
      <c r="R16" s="308"/>
      <c r="S16" s="316" t="str">
        <f t="shared" si="8"/>
        <v/>
      </c>
      <c r="T16" s="317" t="str">
        <f t="shared" si="9"/>
        <v/>
      </c>
      <c r="U16" s="318" t="str">
        <f t="shared" si="10"/>
        <v/>
      </c>
      <c r="V16" s="319" t="str">
        <f t="shared" si="11"/>
        <v/>
      </c>
      <c r="W16" s="320" t="str">
        <f t="shared" si="12"/>
        <v/>
      </c>
      <c r="X16" s="321" t="str">
        <f t="shared" si="13"/>
        <v/>
      </c>
      <c r="Y16" s="308"/>
      <c r="Z16" s="322" t="str">
        <f t="shared" si="14"/>
        <v>20.0</v>
      </c>
      <c r="AA16" s="315" t="str">
        <f t="shared" si="15"/>
        <v>30.0</v>
      </c>
      <c r="AB16" s="323">
        <f t="shared" si="16"/>
        <v>310</v>
      </c>
    </row>
    <row r="17" spans="2:28" ht="14.25">
      <c r="B17" s="386"/>
      <c r="C17" s="387"/>
      <c r="D17" s="388"/>
      <c r="E17" s="389"/>
      <c r="F17" s="390"/>
      <c r="G17" s="391"/>
      <c r="H17" s="433" t="str">
        <f t="shared" si="2"/>
        <v/>
      </c>
      <c r="I17" s="434" t="str">
        <f t="shared" si="3"/>
        <v/>
      </c>
      <c r="J17" s="435"/>
      <c r="K17" s="436"/>
      <c r="L17" s="437"/>
      <c r="M17" s="438"/>
      <c r="N17" s="439"/>
      <c r="O17" s="440"/>
      <c r="P17" s="441"/>
      <c r="Q17" s="397"/>
      <c r="R17" s="308"/>
      <c r="S17" s="316" t="str">
        <f t="shared" si="8"/>
        <v/>
      </c>
      <c r="T17" s="317" t="str">
        <f t="shared" si="9"/>
        <v/>
      </c>
      <c r="U17" s="318" t="str">
        <f t="shared" si="10"/>
        <v/>
      </c>
      <c r="V17" s="319" t="str">
        <f t="shared" si="11"/>
        <v/>
      </c>
      <c r="W17" s="320" t="str">
        <f t="shared" si="12"/>
        <v/>
      </c>
      <c r="X17" s="321" t="str">
        <f t="shared" si="13"/>
        <v/>
      </c>
      <c r="Y17" s="308"/>
      <c r="Z17" s="322" t="str">
        <f t="shared" si="14"/>
        <v/>
      </c>
      <c r="AA17" s="315" t="str">
        <f t="shared" si="15"/>
        <v/>
      </c>
      <c r="AB17" s="323" t="str">
        <f t="shared" si="16"/>
        <v/>
      </c>
    </row>
    <row r="18" spans="2:28" ht="14.25">
      <c r="B18" s="398"/>
      <c r="C18" s="399"/>
      <c r="D18" s="400"/>
      <c r="E18" s="401"/>
      <c r="F18" s="402"/>
      <c r="G18" s="403"/>
      <c r="H18" s="399" t="str">
        <f t="shared" si="2"/>
        <v/>
      </c>
      <c r="I18" s="404" t="str">
        <f t="shared" si="3"/>
        <v/>
      </c>
      <c r="J18" s="401"/>
      <c r="K18" s="405"/>
      <c r="L18" s="403"/>
      <c r="M18" s="406"/>
      <c r="N18" s="407"/>
      <c r="O18" s="408"/>
      <c r="P18" s="409"/>
      <c r="Q18" s="410"/>
      <c r="R18" s="308"/>
      <c r="S18" s="316" t="str">
        <f t="shared" si="8"/>
        <v/>
      </c>
      <c r="T18" s="317" t="str">
        <f t="shared" si="9"/>
        <v/>
      </c>
      <c r="U18" s="318" t="str">
        <f t="shared" si="10"/>
        <v/>
      </c>
      <c r="V18" s="319" t="str">
        <f t="shared" si="11"/>
        <v/>
      </c>
      <c r="W18" s="320" t="str">
        <f t="shared" si="12"/>
        <v/>
      </c>
      <c r="X18" s="321" t="str">
        <f t="shared" si="13"/>
        <v/>
      </c>
      <c r="Y18" s="308"/>
      <c r="Z18" s="322" t="str">
        <f t="shared" si="14"/>
        <v/>
      </c>
      <c r="AA18" s="315" t="str">
        <f t="shared" si="15"/>
        <v/>
      </c>
      <c r="AB18" s="323" t="str">
        <f t="shared" si="16"/>
        <v/>
      </c>
    </row>
    <row r="19" spans="2:28" ht="14.25">
      <c r="B19" s="398"/>
      <c r="C19" s="442"/>
      <c r="D19" s="400"/>
      <c r="E19" s="401"/>
      <c r="F19" s="402"/>
      <c r="G19" s="403"/>
      <c r="H19" s="399" t="str">
        <f t="shared" si="2"/>
        <v/>
      </c>
      <c r="I19" s="404" t="str">
        <f t="shared" si="3"/>
        <v/>
      </c>
      <c r="J19" s="401"/>
      <c r="K19" s="405"/>
      <c r="L19" s="403"/>
      <c r="M19" s="406"/>
      <c r="N19" s="407"/>
      <c r="O19" s="408"/>
      <c r="P19" s="409"/>
      <c r="Q19" s="410"/>
      <c r="R19" s="308"/>
      <c r="S19" s="316" t="str">
        <f t="shared" si="8"/>
        <v/>
      </c>
      <c r="T19" s="317" t="str">
        <f t="shared" si="9"/>
        <v/>
      </c>
      <c r="U19" s="318" t="str">
        <f t="shared" si="10"/>
        <v/>
      </c>
      <c r="V19" s="319" t="str">
        <f t="shared" si="11"/>
        <v/>
      </c>
      <c r="W19" s="320" t="str">
        <f t="shared" si="12"/>
        <v/>
      </c>
      <c r="X19" s="321" t="str">
        <f t="shared" si="13"/>
        <v/>
      </c>
      <c r="Y19" s="308"/>
      <c r="Z19" s="322" t="str">
        <f t="shared" si="14"/>
        <v/>
      </c>
      <c r="AA19" s="315" t="str">
        <f t="shared" si="15"/>
        <v/>
      </c>
      <c r="AB19" s="323" t="str">
        <f t="shared" si="16"/>
        <v/>
      </c>
    </row>
    <row r="20" spans="2:28" ht="14.25">
      <c r="B20" s="398"/>
      <c r="C20" s="399"/>
      <c r="D20" s="400"/>
      <c r="E20" s="401"/>
      <c r="F20" s="402"/>
      <c r="G20" s="403"/>
      <c r="H20" s="399" t="str">
        <f t="shared" si="2"/>
        <v/>
      </c>
      <c r="I20" s="404" t="str">
        <f t="shared" si="3"/>
        <v/>
      </c>
      <c r="J20" s="401"/>
      <c r="K20" s="405"/>
      <c r="L20" s="403"/>
      <c r="M20" s="406"/>
      <c r="N20" s="407"/>
      <c r="O20" s="408"/>
      <c r="P20" s="443"/>
      <c r="Q20" s="410"/>
      <c r="R20" s="308"/>
      <c r="S20" s="316" t="str">
        <f t="shared" si="8"/>
        <v/>
      </c>
      <c r="T20" s="317" t="str">
        <f t="shared" si="9"/>
        <v/>
      </c>
      <c r="U20" s="318" t="str">
        <f t="shared" si="10"/>
        <v/>
      </c>
      <c r="V20" s="319" t="str">
        <f t="shared" si="11"/>
        <v/>
      </c>
      <c r="W20" s="320" t="str">
        <f t="shared" si="12"/>
        <v/>
      </c>
      <c r="X20" s="321" t="str">
        <f t="shared" si="13"/>
        <v/>
      </c>
      <c r="Y20" s="308"/>
      <c r="Z20" s="322" t="str">
        <f t="shared" si="14"/>
        <v/>
      </c>
      <c r="AA20" s="315" t="str">
        <f t="shared" si="15"/>
        <v/>
      </c>
      <c r="AB20" s="323" t="str">
        <f t="shared" si="16"/>
        <v/>
      </c>
    </row>
    <row r="21" spans="2:28" ht="14.25">
      <c r="B21" s="412"/>
      <c r="C21" s="413"/>
      <c r="D21" s="400"/>
      <c r="E21" s="415"/>
      <c r="F21" s="416"/>
      <c r="G21" s="417"/>
      <c r="H21" s="413" t="str">
        <f t="shared" si="2"/>
        <v/>
      </c>
      <c r="I21" s="428" t="str">
        <f t="shared" si="3"/>
        <v/>
      </c>
      <c r="J21" s="415"/>
      <c r="K21" s="429"/>
      <c r="L21" s="417"/>
      <c r="M21" s="430"/>
      <c r="N21" s="431"/>
      <c r="O21" s="432"/>
      <c r="P21" s="444"/>
      <c r="Q21" s="427"/>
      <c r="R21" s="308"/>
      <c r="S21" s="316" t="str">
        <f t="shared" si="8"/>
        <v/>
      </c>
      <c r="T21" s="317" t="str">
        <f t="shared" si="9"/>
        <v/>
      </c>
      <c r="U21" s="318" t="str">
        <f t="shared" si="10"/>
        <v/>
      </c>
      <c r="V21" s="319" t="str">
        <f t="shared" si="11"/>
        <v/>
      </c>
      <c r="W21" s="320" t="str">
        <f t="shared" si="12"/>
        <v/>
      </c>
      <c r="X21" s="321" t="str">
        <f t="shared" si="13"/>
        <v/>
      </c>
      <c r="Y21" s="308"/>
      <c r="Z21" s="322" t="str">
        <f t="shared" si="14"/>
        <v/>
      </c>
      <c r="AA21" s="315" t="str">
        <f t="shared" si="15"/>
        <v/>
      </c>
      <c r="AB21" s="323" t="str">
        <f t="shared" si="16"/>
        <v/>
      </c>
    </row>
    <row r="22" spans="2:28" ht="14.25">
      <c r="B22" s="445"/>
      <c r="C22" s="433"/>
      <c r="D22" s="388"/>
      <c r="E22" s="389"/>
      <c r="F22" s="390"/>
      <c r="G22" s="437"/>
      <c r="H22" s="433" t="str">
        <f t="shared" si="2"/>
        <v/>
      </c>
      <c r="I22" s="434" t="str">
        <f t="shared" si="3"/>
        <v/>
      </c>
      <c r="J22" s="446"/>
      <c r="K22" s="436"/>
      <c r="L22" s="437"/>
      <c r="M22" s="438"/>
      <c r="N22" s="439"/>
      <c r="O22" s="440"/>
      <c r="P22" s="447"/>
      <c r="Q22" s="448"/>
      <c r="R22" s="308"/>
      <c r="S22" s="316" t="str">
        <f t="shared" si="8"/>
        <v/>
      </c>
      <c r="T22" s="317" t="str">
        <f t="shared" si="9"/>
        <v/>
      </c>
      <c r="U22" s="318" t="str">
        <f t="shared" si="10"/>
        <v/>
      </c>
      <c r="V22" s="319" t="str">
        <f t="shared" si="11"/>
        <v/>
      </c>
      <c r="W22" s="320" t="str">
        <f t="shared" si="12"/>
        <v/>
      </c>
      <c r="X22" s="321" t="str">
        <f t="shared" si="13"/>
        <v/>
      </c>
      <c r="Y22" s="308"/>
      <c r="Z22" s="322" t="str">
        <f t="shared" si="14"/>
        <v/>
      </c>
      <c r="AA22" s="315" t="str">
        <f t="shared" si="15"/>
        <v/>
      </c>
      <c r="AB22" s="323" t="str">
        <f t="shared" si="16"/>
        <v/>
      </c>
    </row>
    <row r="23" spans="2:28" ht="14.25">
      <c r="B23" s="398"/>
      <c r="C23" s="399"/>
      <c r="D23" s="400"/>
      <c r="E23" s="401"/>
      <c r="F23" s="402"/>
      <c r="G23" s="403"/>
      <c r="H23" s="399" t="str">
        <f t="shared" si="2"/>
        <v/>
      </c>
      <c r="I23" s="404" t="str">
        <f t="shared" si="3"/>
        <v/>
      </c>
      <c r="J23" s="401"/>
      <c r="K23" s="405"/>
      <c r="L23" s="403"/>
      <c r="M23" s="406"/>
      <c r="N23" s="407"/>
      <c r="O23" s="408"/>
      <c r="P23" s="449"/>
      <c r="Q23" s="410"/>
      <c r="R23" s="308"/>
      <c r="S23" s="316" t="str">
        <f t="shared" si="8"/>
        <v/>
      </c>
      <c r="T23" s="317" t="str">
        <f t="shared" si="9"/>
        <v/>
      </c>
      <c r="U23" s="318" t="str">
        <f t="shared" si="10"/>
        <v/>
      </c>
      <c r="V23" s="319" t="str">
        <f t="shared" si="11"/>
        <v/>
      </c>
      <c r="W23" s="320" t="str">
        <f t="shared" si="12"/>
        <v/>
      </c>
      <c r="X23" s="321" t="str">
        <f t="shared" si="13"/>
        <v/>
      </c>
      <c r="Y23" s="308"/>
      <c r="Z23" s="322" t="str">
        <f t="shared" si="14"/>
        <v/>
      </c>
      <c r="AA23" s="315" t="str">
        <f t="shared" si="15"/>
        <v/>
      </c>
      <c r="AB23" s="323" t="str">
        <f t="shared" si="16"/>
        <v/>
      </c>
    </row>
    <row r="24" spans="2:28" ht="14.25">
      <c r="B24" s="398"/>
      <c r="C24" s="399"/>
      <c r="D24" s="400"/>
      <c r="E24" s="401"/>
      <c r="F24" s="402"/>
      <c r="G24" s="403"/>
      <c r="H24" s="399" t="str">
        <f t="shared" si="2"/>
        <v/>
      </c>
      <c r="I24" s="404" t="str">
        <f t="shared" si="3"/>
        <v/>
      </c>
      <c r="J24" s="401"/>
      <c r="K24" s="405"/>
      <c r="L24" s="403"/>
      <c r="M24" s="406"/>
      <c r="N24" s="407"/>
      <c r="O24" s="408"/>
      <c r="P24" s="450"/>
      <c r="Q24" s="410"/>
      <c r="R24" s="308"/>
      <c r="S24" s="316" t="str">
        <f t="shared" si="8"/>
        <v/>
      </c>
      <c r="T24" s="317" t="str">
        <f t="shared" si="9"/>
        <v/>
      </c>
      <c r="U24" s="318" t="str">
        <f t="shared" si="10"/>
        <v/>
      </c>
      <c r="V24" s="319" t="str">
        <f t="shared" si="11"/>
        <v/>
      </c>
      <c r="W24" s="320" t="str">
        <f t="shared" si="12"/>
        <v/>
      </c>
      <c r="X24" s="321" t="str">
        <f t="shared" si="13"/>
        <v/>
      </c>
      <c r="Y24" s="308"/>
      <c r="Z24" s="322" t="str">
        <f t="shared" si="14"/>
        <v/>
      </c>
      <c r="AA24" s="315" t="str">
        <f t="shared" si="15"/>
        <v/>
      </c>
      <c r="AB24" s="323" t="str">
        <f t="shared" si="16"/>
        <v/>
      </c>
    </row>
    <row r="25" spans="2:28" ht="14.25">
      <c r="B25" s="398"/>
      <c r="C25" s="399"/>
      <c r="D25" s="400"/>
      <c r="E25" s="401"/>
      <c r="F25" s="402"/>
      <c r="G25" s="403"/>
      <c r="H25" s="399" t="str">
        <f t="shared" si="2"/>
        <v/>
      </c>
      <c r="I25" s="404" t="str">
        <f t="shared" si="3"/>
        <v/>
      </c>
      <c r="J25" s="401"/>
      <c r="K25" s="405"/>
      <c r="L25" s="403"/>
      <c r="M25" s="406"/>
      <c r="N25" s="407"/>
      <c r="O25" s="408"/>
      <c r="P25" s="450"/>
      <c r="Q25" s="410"/>
      <c r="R25" s="308"/>
      <c r="S25" s="316" t="str">
        <f t="shared" si="8"/>
        <v/>
      </c>
      <c r="T25" s="317" t="str">
        <f t="shared" si="9"/>
        <v/>
      </c>
      <c r="U25" s="318" t="str">
        <f t="shared" si="10"/>
        <v/>
      </c>
      <c r="V25" s="319" t="str">
        <f t="shared" si="11"/>
        <v/>
      </c>
      <c r="W25" s="320" t="str">
        <f t="shared" si="12"/>
        <v/>
      </c>
      <c r="X25" s="321" t="str">
        <f t="shared" si="13"/>
        <v/>
      </c>
      <c r="Y25" s="308"/>
      <c r="Z25" s="322" t="str">
        <f t="shared" si="14"/>
        <v/>
      </c>
      <c r="AA25" s="315" t="str">
        <f t="shared" si="15"/>
        <v/>
      </c>
      <c r="AB25" s="323" t="str">
        <f t="shared" si="16"/>
        <v/>
      </c>
    </row>
    <row r="26" spans="2:28" ht="14.25">
      <c r="B26" s="412"/>
      <c r="C26" s="413"/>
      <c r="D26" s="414"/>
      <c r="E26" s="415"/>
      <c r="F26" s="416"/>
      <c r="G26" s="417"/>
      <c r="H26" s="413" t="str">
        <f t="shared" si="2"/>
        <v/>
      </c>
      <c r="I26" s="428"/>
      <c r="J26" s="415"/>
      <c r="K26" s="429"/>
      <c r="L26" s="417"/>
      <c r="M26" s="430"/>
      <c r="N26" s="431"/>
      <c r="O26" s="432"/>
      <c r="P26" s="451"/>
      <c r="Q26" s="427"/>
      <c r="R26" s="308"/>
      <c r="S26" s="316" t="str">
        <f t="shared" si="8"/>
        <v/>
      </c>
      <c r="T26" s="317" t="str">
        <f t="shared" si="9"/>
        <v/>
      </c>
      <c r="U26" s="318" t="str">
        <f t="shared" si="10"/>
        <v/>
      </c>
      <c r="V26" s="319" t="str">
        <f t="shared" si="11"/>
        <v/>
      </c>
      <c r="W26" s="320" t="str">
        <f t="shared" si="12"/>
        <v/>
      </c>
      <c r="X26" s="321" t="str">
        <f t="shared" si="13"/>
        <v/>
      </c>
      <c r="Y26" s="308"/>
      <c r="Z26" s="322" t="str">
        <f t="shared" si="14"/>
        <v/>
      </c>
      <c r="AA26" s="315" t="str">
        <f t="shared" si="15"/>
        <v/>
      </c>
      <c r="AB26" s="323" t="str">
        <f t="shared" si="16"/>
        <v/>
      </c>
    </row>
    <row r="27" spans="2:28" ht="14.25">
      <c r="B27" s="445"/>
      <c r="C27" s="433"/>
      <c r="D27" s="452" t="str">
        <f t="shared" si="0"/>
        <v/>
      </c>
      <c r="E27" s="446"/>
      <c r="F27" s="453"/>
      <c r="G27" s="437"/>
      <c r="H27" s="433" t="str">
        <f t="shared" si="2"/>
        <v/>
      </c>
      <c r="I27" s="392"/>
      <c r="J27" s="389"/>
      <c r="K27" s="393" t="str">
        <f t="shared" si="4"/>
        <v/>
      </c>
      <c r="L27" s="391" t="str">
        <f>IFERROR((K27-$K$7)/86400,"")</f>
        <v/>
      </c>
      <c r="M27" s="394" t="str">
        <f>IFERROR((K27-$K$7)/$N$3,"")</f>
        <v/>
      </c>
      <c r="N27" s="395" t="str">
        <f>IFERROR($N$3/(H27/3600),"")</f>
        <v/>
      </c>
      <c r="O27" s="315"/>
      <c r="P27" s="447"/>
      <c r="Q27" s="448"/>
      <c r="R27" s="308"/>
      <c r="S27" s="316" t="str">
        <f t="shared" si="8"/>
        <v/>
      </c>
      <c r="T27" s="317" t="str">
        <f t="shared" si="9"/>
        <v/>
      </c>
      <c r="U27" s="318" t="str">
        <f t="shared" si="10"/>
        <v/>
      </c>
      <c r="V27" s="319" t="str">
        <f t="shared" si="11"/>
        <v/>
      </c>
      <c r="W27" s="320" t="str">
        <f t="shared" si="12"/>
        <v/>
      </c>
      <c r="X27" s="321" t="str">
        <f t="shared" si="13"/>
        <v/>
      </c>
      <c r="Y27" s="308"/>
      <c r="Z27" s="322" t="str">
        <f t="shared" si="14"/>
        <v/>
      </c>
      <c r="AA27" s="315" t="str">
        <f t="shared" si="15"/>
        <v/>
      </c>
      <c r="AB27" s="323" t="str">
        <f t="shared" si="16"/>
        <v/>
      </c>
    </row>
    <row r="28" spans="2:28" ht="14.25" customHeight="1">
      <c r="B28" s="398"/>
      <c r="C28" s="399"/>
      <c r="D28" s="400"/>
      <c r="E28" s="401"/>
      <c r="F28" s="402"/>
      <c r="G28" s="403"/>
      <c r="H28" s="399"/>
      <c r="I28" s="404"/>
      <c r="J28" s="401"/>
      <c r="K28" s="405"/>
      <c r="L28" s="403"/>
      <c r="M28" s="406"/>
      <c r="N28" s="407"/>
      <c r="O28" s="408"/>
      <c r="P28" s="454"/>
      <c r="Q28" s="410"/>
      <c r="R28" s="308"/>
      <c r="S28" s="316" t="str">
        <f t="shared" si="8"/>
        <v/>
      </c>
      <c r="T28" s="317" t="str">
        <f t="shared" si="9"/>
        <v/>
      </c>
      <c r="U28" s="318" t="str">
        <f t="shared" si="10"/>
        <v/>
      </c>
      <c r="V28" s="319" t="str">
        <f t="shared" si="11"/>
        <v/>
      </c>
      <c r="W28" s="320" t="str">
        <f t="shared" si="12"/>
        <v/>
      </c>
      <c r="X28" s="321" t="str">
        <f t="shared" si="13"/>
        <v/>
      </c>
      <c r="Y28" s="308"/>
      <c r="Z28" s="322" t="str">
        <f t="shared" si="14"/>
        <v/>
      </c>
      <c r="AA28" s="315" t="str">
        <f t="shared" si="15"/>
        <v/>
      </c>
      <c r="AB28" s="323" t="str">
        <f t="shared" si="16"/>
        <v/>
      </c>
    </row>
    <row r="29" spans="2:28" ht="14.25">
      <c r="B29" s="398"/>
      <c r="C29" s="399"/>
      <c r="D29" s="400" t="str">
        <f t="shared" si="0"/>
        <v/>
      </c>
      <c r="E29" s="401"/>
      <c r="F29" s="402"/>
      <c r="G29" s="403"/>
      <c r="H29" s="399"/>
      <c r="I29" s="404"/>
      <c r="J29" s="401"/>
      <c r="K29" s="405"/>
      <c r="L29" s="403"/>
      <c r="M29" s="406"/>
      <c r="N29" s="407"/>
      <c r="O29" s="408"/>
      <c r="P29" s="450"/>
      <c r="Q29" s="410"/>
      <c r="R29" s="308"/>
      <c r="S29" s="316" t="str">
        <f t="shared" si="8"/>
        <v/>
      </c>
      <c r="T29" s="317" t="str">
        <f t="shared" si="9"/>
        <v/>
      </c>
      <c r="U29" s="318" t="str">
        <f t="shared" si="10"/>
        <v/>
      </c>
      <c r="V29" s="319" t="str">
        <f t="shared" si="11"/>
        <v/>
      </c>
      <c r="W29" s="320" t="str">
        <f t="shared" si="12"/>
        <v/>
      </c>
      <c r="X29" s="321" t="str">
        <f t="shared" si="13"/>
        <v/>
      </c>
      <c r="Y29" s="308"/>
      <c r="Z29" s="322" t="str">
        <f t="shared" si="14"/>
        <v/>
      </c>
      <c r="AA29" s="315" t="str">
        <f t="shared" si="15"/>
        <v/>
      </c>
      <c r="AB29" s="323" t="str">
        <f t="shared" si="16"/>
        <v/>
      </c>
    </row>
    <row r="30" spans="2:28" ht="14.25" customHeight="1">
      <c r="B30" s="398"/>
      <c r="C30" s="399"/>
      <c r="D30" s="400" t="str">
        <f t="shared" si="0"/>
        <v/>
      </c>
      <c r="E30" s="401"/>
      <c r="F30" s="402"/>
      <c r="G30" s="403"/>
      <c r="H30" s="399"/>
      <c r="I30" s="404"/>
      <c r="J30" s="401"/>
      <c r="K30" s="405"/>
      <c r="L30" s="403"/>
      <c r="M30" s="406"/>
      <c r="N30" s="407"/>
      <c r="O30" s="408"/>
      <c r="P30" s="450"/>
      <c r="Q30" s="410"/>
      <c r="R30" s="308"/>
      <c r="S30" s="316" t="str">
        <f t="shared" si="8"/>
        <v/>
      </c>
      <c r="T30" s="317" t="str">
        <f t="shared" si="9"/>
        <v/>
      </c>
      <c r="U30" s="318" t="str">
        <f t="shared" si="10"/>
        <v/>
      </c>
      <c r="V30" s="319" t="str">
        <f t="shared" si="11"/>
        <v/>
      </c>
      <c r="W30" s="320" t="str">
        <f t="shared" si="12"/>
        <v/>
      </c>
      <c r="X30" s="321" t="str">
        <f t="shared" si="13"/>
        <v/>
      </c>
      <c r="Y30" s="308"/>
      <c r="Z30" s="322" t="str">
        <f t="shared" si="14"/>
        <v/>
      </c>
      <c r="AA30" s="315" t="str">
        <f t="shared" si="15"/>
        <v/>
      </c>
      <c r="AB30" s="323" t="str">
        <f t="shared" si="16"/>
        <v/>
      </c>
    </row>
    <row r="31" spans="2:28" ht="15" thickBot="1">
      <c r="B31" s="398"/>
      <c r="C31" s="399"/>
      <c r="D31" s="414" t="str">
        <f t="shared" si="0"/>
        <v/>
      </c>
      <c r="E31" s="415"/>
      <c r="F31" s="402"/>
      <c r="G31" s="403"/>
      <c r="H31" s="413" t="str">
        <f>IFERROR(IF(G31-$Q$2&lt;=0,"",(G31-$Q$2)*86400),"")</f>
        <v/>
      </c>
      <c r="I31" s="428" t="str">
        <f>IF($I$6="Ⅰ",V31,IF($I$6="Ⅱ",W31,IF($I$6="Ⅲ",X31,"")))</f>
        <v/>
      </c>
      <c r="J31" s="415"/>
      <c r="K31" s="429" t="str">
        <f>IFERROR(H31*(1+0.01*J31)-I31*$N$3,"")</f>
        <v/>
      </c>
      <c r="L31" s="417" t="str">
        <f>IFERROR((K31-$K$7)/86400,"")</f>
        <v/>
      </c>
      <c r="M31" s="430" t="str">
        <f>IFERROR((K31-$K$7)/$N$3,"")</f>
        <v/>
      </c>
      <c r="N31" s="431" t="str">
        <f>IFERROR($N$3/(H31/3600),"")</f>
        <v/>
      </c>
      <c r="O31" s="432" t="str">
        <f>IF($O$6="MAX=20",Z31,IF($O$6="MAX=30",AA31,IF($O$6="MAX=40",AB31,"")))</f>
        <v/>
      </c>
      <c r="P31" s="451"/>
      <c r="Q31" s="427"/>
      <c r="R31" s="308"/>
      <c r="S31" s="324" t="str">
        <f t="shared" si="8"/>
        <v/>
      </c>
      <c r="T31" s="325" t="str">
        <f t="shared" si="9"/>
        <v/>
      </c>
      <c r="U31" s="326" t="str">
        <f t="shared" si="10"/>
        <v/>
      </c>
      <c r="V31" s="327" t="str">
        <f t="shared" si="11"/>
        <v/>
      </c>
      <c r="W31" s="328" t="str">
        <f t="shared" si="12"/>
        <v/>
      </c>
      <c r="X31" s="329" t="str">
        <f t="shared" si="13"/>
        <v/>
      </c>
      <c r="Y31" s="308"/>
      <c r="Z31" s="340" t="str">
        <f t="shared" si="14"/>
        <v/>
      </c>
      <c r="AA31" s="341" t="str">
        <f t="shared" si="15"/>
        <v/>
      </c>
      <c r="AB31" s="342" t="str">
        <f t="shared" si="16"/>
        <v/>
      </c>
    </row>
    <row r="32" spans="2:28" ht="15" customHeight="1">
      <c r="B32" s="635" t="s">
        <v>370</v>
      </c>
      <c r="C32" s="636"/>
      <c r="D32" s="637"/>
      <c r="E32" s="288" t="s">
        <v>188</v>
      </c>
      <c r="F32" s="601" t="s">
        <v>245</v>
      </c>
      <c r="G32" s="602"/>
      <c r="H32" s="644" t="s">
        <v>392</v>
      </c>
      <c r="I32" s="645"/>
      <c r="J32" s="645"/>
      <c r="K32" s="645"/>
      <c r="L32" s="645"/>
      <c r="M32" s="645"/>
      <c r="N32" s="645"/>
      <c r="O32" s="645"/>
      <c r="P32" s="645"/>
      <c r="Q32" s="646"/>
      <c r="R32" s="302"/>
      <c r="S32" s="302"/>
      <c r="T32" s="302"/>
      <c r="U32" s="302"/>
      <c r="X32" s="302"/>
      <c r="Y32" s="302"/>
    </row>
    <row r="33" spans="2:25" ht="15" customHeight="1">
      <c r="B33" s="638"/>
      <c r="C33" s="639"/>
      <c r="D33" s="640"/>
      <c r="E33" s="289" t="s">
        <v>189</v>
      </c>
      <c r="F33" s="603"/>
      <c r="G33" s="604"/>
      <c r="H33" s="647"/>
      <c r="I33" s="648"/>
      <c r="J33" s="648"/>
      <c r="K33" s="648"/>
      <c r="L33" s="648"/>
      <c r="M33" s="648"/>
      <c r="N33" s="648"/>
      <c r="O33" s="648"/>
      <c r="P33" s="648"/>
      <c r="Q33" s="649"/>
      <c r="R33" s="302"/>
      <c r="S33" s="302"/>
      <c r="T33" s="302"/>
      <c r="U33" s="302"/>
      <c r="X33" s="302"/>
      <c r="Y33" s="302"/>
    </row>
    <row r="34" spans="2:25" ht="23.25" customHeight="1">
      <c r="B34" s="641"/>
      <c r="C34" s="642"/>
      <c r="D34" s="643"/>
      <c r="E34" s="289" t="s">
        <v>190</v>
      </c>
      <c r="F34" s="603"/>
      <c r="G34" s="604"/>
      <c r="H34" s="647"/>
      <c r="I34" s="648"/>
      <c r="J34" s="648"/>
      <c r="K34" s="648"/>
      <c r="L34" s="648"/>
      <c r="M34" s="648"/>
      <c r="N34" s="648"/>
      <c r="O34" s="648"/>
      <c r="P34" s="648"/>
      <c r="Q34" s="649"/>
      <c r="R34" s="302"/>
      <c r="S34" s="302"/>
      <c r="T34" s="302"/>
      <c r="U34" s="302"/>
      <c r="X34" s="302"/>
      <c r="Y34" s="302"/>
    </row>
    <row r="35" spans="2:25" ht="22.5" customHeight="1">
      <c r="B35" s="653" t="s">
        <v>330</v>
      </c>
      <c r="C35" s="654"/>
      <c r="D35" s="655"/>
      <c r="E35" s="626" t="s">
        <v>192</v>
      </c>
      <c r="F35" s="603" t="str">
        <f>参照ﾃﾞｰﾀ!AL12</f>
        <v>別途</v>
      </c>
      <c r="G35" s="604"/>
      <c r="H35" s="647"/>
      <c r="I35" s="648"/>
      <c r="J35" s="648"/>
      <c r="K35" s="648"/>
      <c r="L35" s="648"/>
      <c r="M35" s="648"/>
      <c r="N35" s="648"/>
      <c r="O35" s="648"/>
      <c r="P35" s="648"/>
      <c r="Q35" s="649"/>
      <c r="R35" s="302"/>
      <c r="S35" s="302"/>
      <c r="T35" s="302"/>
      <c r="U35" s="302"/>
      <c r="X35" s="302"/>
      <c r="Y35" s="302"/>
    </row>
    <row r="36" spans="2:25" ht="15" customHeight="1">
      <c r="B36" s="656"/>
      <c r="C36" s="657"/>
      <c r="D36" s="658"/>
      <c r="E36" s="627"/>
      <c r="F36" s="603"/>
      <c r="G36" s="604"/>
      <c r="H36" s="647"/>
      <c r="I36" s="648"/>
      <c r="J36" s="648"/>
      <c r="K36" s="648"/>
      <c r="L36" s="648"/>
      <c r="M36" s="648"/>
      <c r="N36" s="648"/>
      <c r="O36" s="648"/>
      <c r="P36" s="648"/>
      <c r="Q36" s="649"/>
      <c r="R36" s="302"/>
      <c r="S36" s="302"/>
      <c r="T36" s="302"/>
      <c r="U36" s="302"/>
      <c r="X36" s="302"/>
      <c r="Y36" s="302"/>
    </row>
    <row r="37" spans="2:25" ht="15" customHeight="1">
      <c r="B37" s="656"/>
      <c r="C37" s="657"/>
      <c r="D37" s="658"/>
      <c r="E37" s="288" t="s">
        <v>191</v>
      </c>
      <c r="F37" s="605"/>
      <c r="G37" s="602"/>
      <c r="H37" s="647"/>
      <c r="I37" s="648"/>
      <c r="J37" s="648"/>
      <c r="K37" s="648"/>
      <c r="L37" s="648"/>
      <c r="M37" s="648"/>
      <c r="N37" s="648"/>
      <c r="O37" s="648"/>
      <c r="P37" s="648"/>
      <c r="Q37" s="649"/>
      <c r="R37" s="302"/>
      <c r="S37" s="302"/>
      <c r="T37" s="302"/>
      <c r="U37" s="302"/>
      <c r="X37" s="302"/>
      <c r="Y37" s="302"/>
    </row>
    <row r="38" spans="2:25" ht="15">
      <c r="B38" s="656"/>
      <c r="C38" s="657"/>
      <c r="D38" s="658"/>
      <c r="E38" s="289" t="s">
        <v>205</v>
      </c>
      <c r="F38" s="603"/>
      <c r="G38" s="604"/>
      <c r="H38" s="647"/>
      <c r="I38" s="648"/>
      <c r="J38" s="648"/>
      <c r="K38" s="648"/>
      <c r="L38" s="648"/>
      <c r="M38" s="648"/>
      <c r="N38" s="648"/>
      <c r="O38" s="648"/>
      <c r="P38" s="648"/>
      <c r="Q38" s="649"/>
      <c r="R38" s="302"/>
      <c r="S38" s="302"/>
      <c r="T38" s="302"/>
      <c r="U38" s="302"/>
      <c r="X38" s="302"/>
      <c r="Y38" s="302"/>
    </row>
    <row r="39" spans="2:25" ht="30">
      <c r="B39" s="656"/>
      <c r="C39" s="657"/>
      <c r="D39" s="658"/>
      <c r="E39" s="289" t="s">
        <v>192</v>
      </c>
      <c r="F39" s="603"/>
      <c r="G39" s="604"/>
      <c r="H39" s="647"/>
      <c r="I39" s="648"/>
      <c r="J39" s="648"/>
      <c r="K39" s="648"/>
      <c r="L39" s="648"/>
      <c r="M39" s="648"/>
      <c r="N39" s="648"/>
      <c r="O39" s="648"/>
      <c r="P39" s="648"/>
      <c r="Q39" s="649"/>
      <c r="R39" s="302"/>
      <c r="S39" s="302"/>
      <c r="T39" s="302"/>
      <c r="U39" s="302"/>
      <c r="X39" s="302"/>
      <c r="Y39" s="302"/>
    </row>
    <row r="40" spans="2:25" ht="15">
      <c r="B40" s="656"/>
      <c r="C40" s="657"/>
      <c r="D40" s="658"/>
      <c r="E40" s="289"/>
      <c r="F40" s="603"/>
      <c r="G40" s="604"/>
      <c r="H40" s="647"/>
      <c r="I40" s="648"/>
      <c r="J40" s="648"/>
      <c r="K40" s="648"/>
      <c r="L40" s="648"/>
      <c r="M40" s="648"/>
      <c r="N40" s="648"/>
      <c r="O40" s="648"/>
      <c r="P40" s="648"/>
      <c r="Q40" s="649"/>
      <c r="R40" s="302"/>
      <c r="S40" s="302"/>
      <c r="T40" s="302"/>
      <c r="U40" s="302"/>
      <c r="X40" s="302"/>
      <c r="Y40" s="302"/>
    </row>
    <row r="41" spans="2:25" ht="11.25" customHeight="1" thickBot="1">
      <c r="B41" s="659"/>
      <c r="C41" s="660"/>
      <c r="D41" s="661"/>
      <c r="E41" s="290"/>
      <c r="F41" s="628"/>
      <c r="G41" s="629"/>
      <c r="H41" s="650"/>
      <c r="I41" s="651"/>
      <c r="J41" s="651"/>
      <c r="K41" s="651"/>
      <c r="L41" s="651"/>
      <c r="M41" s="651"/>
      <c r="N41" s="651"/>
      <c r="O41" s="651"/>
      <c r="P41" s="651"/>
      <c r="Q41" s="652"/>
      <c r="R41" s="302"/>
      <c r="S41" s="302"/>
      <c r="T41" s="302"/>
      <c r="U41" s="302"/>
      <c r="V41" s="302"/>
      <c r="W41" s="302"/>
      <c r="X41" s="302"/>
      <c r="Y41" s="302"/>
    </row>
  </sheetData>
  <sheetProtection algorithmName="SHA-512" hashValue="vGSDL2KXSnu85YNBUJMIU94+9PTVRCQnVXBtuRyjdVKoNHTl4ovVGXgychhh+9P+P0tKxyGkFQgbd+p3MXVOCQ==" saltValue="PwXXlk3m4HbAZR5waf/fuA==" spinCount="100000" sheet="1" objects="1" scenarios="1"/>
  <mergeCells count="18">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D2:F2"/>
    <mergeCell ref="E3:I3"/>
    <mergeCell ref="J3:K3"/>
  </mergeCells>
  <phoneticPr fontId="43"/>
  <dataValidations count="8">
    <dataValidation type="list" allowBlank="1" showInputMessage="1" showErrorMessage="1" sqref="P2 F37:G37">
      <formula1>開催日</formula1>
    </dataValidation>
    <dataValidation type="list" errorStyle="warning"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3"/>
  <sheetViews>
    <sheetView zoomScale="85" zoomScaleNormal="85" zoomScaleSheetLayoutView="85" workbookViewId="0">
      <selection activeCell="H32" sqref="H32:Q41"/>
    </sheetView>
  </sheetViews>
  <sheetFormatPr defaultRowHeight="13.5"/>
  <cols>
    <col min="1" max="1" width="1.75" style="301" customWidth="1"/>
    <col min="2" max="2" width="5" style="301" customWidth="1"/>
    <col min="3" max="3" width="7" style="301" customWidth="1"/>
    <col min="4" max="4" width="18" style="301" customWidth="1"/>
    <col min="5" max="5" width="8" style="301" customWidth="1"/>
    <col min="6" max="6" width="5" style="301" customWidth="1"/>
    <col min="7" max="7" width="10.875" style="301" customWidth="1"/>
    <col min="8" max="8" width="8.375" style="301" customWidth="1"/>
    <col min="9" max="9" width="8.625" style="301" customWidth="1"/>
    <col min="10" max="10" width="5" style="301" customWidth="1"/>
    <col min="11" max="11" width="8.5" style="301" customWidth="1"/>
    <col min="12" max="12" width="10.875" style="301" customWidth="1"/>
    <col min="13" max="13" width="9.5" style="301" customWidth="1"/>
    <col min="14" max="14" width="7.875" style="301" customWidth="1"/>
    <col min="15" max="15" width="8" style="301" customWidth="1"/>
    <col min="16" max="16" width="12" style="301" customWidth="1"/>
    <col min="17" max="17" width="11.625" style="301" customWidth="1"/>
    <col min="18" max="18" width="1.5" style="301" customWidth="1"/>
    <col min="19" max="19" width="4.875" style="301" customWidth="1"/>
    <col min="20" max="22" width="7.625" style="301" customWidth="1"/>
    <col min="23" max="23" width="7.75" style="301" customWidth="1"/>
    <col min="24" max="25" width="7.625" style="301" customWidth="1"/>
    <col min="26" max="26" width="4.5" style="301" customWidth="1"/>
    <col min="27" max="29" width="8" style="301" customWidth="1"/>
    <col min="30" max="16384" width="9" style="301"/>
  </cols>
  <sheetData>
    <row r="1" spans="1:29" ht="9.75" customHeight="1" thickBot="1">
      <c r="A1" s="204"/>
      <c r="B1" s="204"/>
      <c r="C1" s="204"/>
      <c r="D1" s="204"/>
      <c r="E1" s="204"/>
      <c r="F1" s="204"/>
      <c r="G1" s="204"/>
      <c r="H1" s="204"/>
      <c r="I1" s="204"/>
      <c r="J1" s="204"/>
      <c r="K1" s="204"/>
      <c r="L1" s="204"/>
      <c r="M1" s="204"/>
      <c r="N1" s="204"/>
      <c r="O1" s="204"/>
      <c r="P1" s="204"/>
      <c r="Q1" s="204"/>
      <c r="R1" s="204"/>
      <c r="S1" s="204"/>
    </row>
    <row r="2" spans="1:29" ht="21">
      <c r="A2" s="204"/>
      <c r="B2" s="330"/>
      <c r="C2" s="204"/>
      <c r="D2" s="606" t="str">
        <f>参照ﾃﾞｰﾀ!P4</f>
        <v>2018年</v>
      </c>
      <c r="E2" s="606"/>
      <c r="F2" s="606"/>
      <c r="G2" s="195" t="s">
        <v>201</v>
      </c>
      <c r="H2" s="196"/>
      <c r="I2" s="197"/>
      <c r="J2" s="193"/>
      <c r="K2" s="198"/>
      <c r="L2" s="193"/>
      <c r="M2" s="199" t="s">
        <v>53</v>
      </c>
      <c r="N2" s="200" t="s">
        <v>270</v>
      </c>
      <c r="O2" s="201" t="s">
        <v>55</v>
      </c>
      <c r="P2" s="202">
        <v>43359</v>
      </c>
      <c r="Q2" s="203">
        <v>0.39583333333333331</v>
      </c>
      <c r="R2" s="295"/>
      <c r="S2" s="193"/>
      <c r="T2" s="303" t="s">
        <v>2</v>
      </c>
      <c r="U2" s="302"/>
      <c r="V2" s="302"/>
      <c r="W2" s="302"/>
      <c r="X2" s="302"/>
      <c r="Y2" s="302"/>
      <c r="Z2" s="302"/>
    </row>
    <row r="3" spans="1:29" ht="21.75" customHeight="1" thickBot="1">
      <c r="A3" s="204"/>
      <c r="B3" s="193"/>
      <c r="C3" s="204"/>
      <c r="D3" s="300" t="s">
        <v>239</v>
      </c>
      <c r="E3" s="607" t="s">
        <v>65</v>
      </c>
      <c r="F3" s="607"/>
      <c r="G3" s="607"/>
      <c r="H3" s="607"/>
      <c r="I3" s="607"/>
      <c r="J3" s="589" t="s">
        <v>88</v>
      </c>
      <c r="K3" s="589"/>
      <c r="L3" s="206"/>
      <c r="M3" s="207" t="s">
        <v>77</v>
      </c>
      <c r="N3" s="208">
        <f>IF(ISBLANK(N2),"",VLOOKUP(N2,コース・距離,2,FALSE))</f>
        <v>6</v>
      </c>
      <c r="O3" s="209" t="s">
        <v>0</v>
      </c>
      <c r="P3" s="210">
        <v>14</v>
      </c>
      <c r="Q3" s="211" t="s">
        <v>1</v>
      </c>
      <c r="R3" s="296"/>
      <c r="S3" s="193"/>
      <c r="T3" s="302" t="s">
        <v>265</v>
      </c>
      <c r="U3" s="302"/>
      <c r="V3" s="302"/>
      <c r="W3" s="303" t="s">
        <v>2</v>
      </c>
      <c r="X3" s="304"/>
      <c r="Y3" s="304"/>
      <c r="Z3" s="302"/>
      <c r="AA3" s="305" t="s">
        <v>78</v>
      </c>
    </row>
    <row r="4" spans="1:29" ht="7.5" customHeight="1" thickBot="1">
      <c r="A4" s="204"/>
      <c r="B4" s="193"/>
      <c r="C4" s="193"/>
      <c r="D4" s="193"/>
      <c r="E4" s="193"/>
      <c r="F4" s="193"/>
      <c r="G4" s="193"/>
      <c r="H4" s="193"/>
      <c r="I4" s="193"/>
      <c r="J4" s="193"/>
      <c r="K4" s="193"/>
      <c r="L4" s="193"/>
      <c r="M4" s="193"/>
      <c r="N4" s="193"/>
      <c r="O4" s="193"/>
      <c r="P4" s="193"/>
      <c r="Q4" s="193"/>
      <c r="R4" s="193"/>
      <c r="S4" s="193"/>
      <c r="T4" s="302"/>
      <c r="U4" s="302"/>
      <c r="V4" s="302"/>
      <c r="W4" s="306"/>
      <c r="X4" s="304"/>
      <c r="Y4" s="304"/>
      <c r="Z4" s="302"/>
    </row>
    <row r="5" spans="1:29" ht="14.25">
      <c r="A5" s="204"/>
      <c r="B5" s="212" t="s">
        <v>3</v>
      </c>
      <c r="C5" s="213" t="s">
        <v>4</v>
      </c>
      <c r="D5" s="213" t="s">
        <v>5</v>
      </c>
      <c r="E5" s="213" t="s">
        <v>6</v>
      </c>
      <c r="F5" s="213" t="s">
        <v>7</v>
      </c>
      <c r="G5" s="213" t="s">
        <v>8</v>
      </c>
      <c r="H5" s="213" t="s">
        <v>9</v>
      </c>
      <c r="I5" s="213" t="s">
        <v>10</v>
      </c>
      <c r="J5" s="213" t="s">
        <v>11</v>
      </c>
      <c r="K5" s="213" t="s">
        <v>12</v>
      </c>
      <c r="L5" s="214" t="s">
        <v>331</v>
      </c>
      <c r="M5" s="214" t="s">
        <v>328</v>
      </c>
      <c r="N5" s="213" t="s">
        <v>73</v>
      </c>
      <c r="O5" s="213" t="s">
        <v>13</v>
      </c>
      <c r="P5" s="590" t="s">
        <v>72</v>
      </c>
      <c r="Q5" s="591"/>
      <c r="R5" s="297"/>
      <c r="S5" s="293"/>
      <c r="T5" s="309" t="s">
        <v>10</v>
      </c>
      <c r="U5" s="307" t="s">
        <v>10</v>
      </c>
      <c r="V5" s="310" t="s">
        <v>10</v>
      </c>
      <c r="W5" s="309" t="s">
        <v>10</v>
      </c>
      <c r="X5" s="307" t="s">
        <v>10</v>
      </c>
      <c r="Y5" s="310" t="s">
        <v>10</v>
      </c>
      <c r="Z5" s="308"/>
      <c r="AA5" s="309" t="s">
        <v>13</v>
      </c>
      <c r="AB5" s="307" t="s">
        <v>13</v>
      </c>
      <c r="AC5" s="310" t="s">
        <v>13</v>
      </c>
    </row>
    <row r="6" spans="1:29" ht="14.25">
      <c r="A6" s="204"/>
      <c r="B6" s="215"/>
      <c r="C6" s="216" t="s">
        <v>14</v>
      </c>
      <c r="D6" s="217"/>
      <c r="E6" s="218" t="s">
        <v>15</v>
      </c>
      <c r="F6" s="218"/>
      <c r="G6" s="216" t="s">
        <v>16</v>
      </c>
      <c r="H6" s="218" t="s">
        <v>17</v>
      </c>
      <c r="I6" s="216" t="s">
        <v>166</v>
      </c>
      <c r="J6" s="218" t="s">
        <v>18</v>
      </c>
      <c r="K6" s="218" t="s">
        <v>17</v>
      </c>
      <c r="L6" s="216" t="s">
        <v>16</v>
      </c>
      <c r="M6" s="218" t="s">
        <v>47</v>
      </c>
      <c r="N6" s="218" t="s">
        <v>19</v>
      </c>
      <c r="O6" s="219" t="s">
        <v>260</v>
      </c>
      <c r="P6" s="220"/>
      <c r="Q6" s="221"/>
      <c r="R6" s="298"/>
      <c r="S6" s="294"/>
      <c r="T6" s="313" t="s">
        <v>20</v>
      </c>
      <c r="U6" s="311" t="s">
        <v>22</v>
      </c>
      <c r="V6" s="314" t="s">
        <v>21</v>
      </c>
      <c r="W6" s="313" t="s">
        <v>20</v>
      </c>
      <c r="X6" s="311" t="s">
        <v>22</v>
      </c>
      <c r="Y6" s="314" t="s">
        <v>21</v>
      </c>
      <c r="Z6" s="312"/>
      <c r="AA6" s="313" t="s">
        <v>80</v>
      </c>
      <c r="AB6" s="311" t="s">
        <v>259</v>
      </c>
      <c r="AC6" s="314" t="s">
        <v>82</v>
      </c>
    </row>
    <row r="7" spans="1:29" ht="14.25">
      <c r="A7" s="204"/>
      <c r="B7" s="222">
        <v>1</v>
      </c>
      <c r="C7" s="223">
        <v>150</v>
      </c>
      <c r="D7" s="224" t="str">
        <f t="shared" ref="D7:D20" si="0">IF(ISBLANK(C7),"",VLOOKUP(C7,各艇データ,2,FALSE))</f>
        <v>SHARK X</v>
      </c>
      <c r="E7" s="225">
        <f t="shared" ref="E7:E20" si="1">IF($I$6="Ⅰ",T7,IF($I$6="Ⅱ",U7,IF($I$6="Ⅲ",V7,"")))</f>
        <v>9.06</v>
      </c>
      <c r="F7" s="226">
        <v>2</v>
      </c>
      <c r="G7" s="227">
        <v>0.44027777777777777</v>
      </c>
      <c r="H7" s="223">
        <f t="shared" ref="H7:H20" si="2">IFERROR(IF(G7-$Q$2&lt;=0,"",(G7-$Q$2)*86400),"")</f>
        <v>3840.0000000000009</v>
      </c>
      <c r="I7" s="228">
        <f t="shared" ref="I7:I20" si="3">IF($I$6="Ⅰ",W7,IF($I$6="Ⅱ",X7,IF($I$6="Ⅲ",Y7,"")))</f>
        <v>936.4</v>
      </c>
      <c r="J7" s="225"/>
      <c r="K7" s="229">
        <f t="shared" ref="K7:K20" si="4">IFERROR(H7*(1+0.01*J7)-I7*$N$3,"")</f>
        <v>-1778.3999999999987</v>
      </c>
      <c r="L7" s="227">
        <f t="shared" ref="L7:L20" si="5">IFERROR((K7-$K$7)/86400,"")</f>
        <v>0</v>
      </c>
      <c r="M7" s="230">
        <f t="shared" ref="M7:M20" si="6">IFERROR((K7-$K$7)/$N$3,"")</f>
        <v>0</v>
      </c>
      <c r="N7" s="231">
        <f t="shared" ref="N7:N20" si="7">IFERROR($N$3/(H7/3600),"")</f>
        <v>5.6249999999999991</v>
      </c>
      <c r="O7" s="232">
        <f>ROUND(IF($O$6="MAX=20",AA7,IF($O$6="MAX=30",AB7,IF($O$6="MAX=40",AC7,""))),1)</f>
        <v>30</v>
      </c>
      <c r="P7" s="233"/>
      <c r="Q7" s="234"/>
      <c r="R7" s="298"/>
      <c r="S7" s="293"/>
      <c r="T7" s="316">
        <f t="shared" ref="T7:T31" si="8">IF(ISBLANK(C7),"",VLOOKUP(C7,各艇データ,3,FALSE))</f>
        <v>9.06</v>
      </c>
      <c r="U7" s="317">
        <f t="shared" ref="U7:U31" si="9">IF(ISBLANK(C7),"",VLOOKUP(C7,各艇データ,4,FALSE))</f>
        <v>8.56</v>
      </c>
      <c r="V7" s="318">
        <f t="shared" ref="V7:V31" si="10">IF(ISBLANK(C7),"",VLOOKUP(C7,各艇データ,5,FALSE))</f>
        <v>8.43</v>
      </c>
      <c r="W7" s="319">
        <f t="shared" ref="W7:W31" si="11">IF(ISBLANK(C7),"",VLOOKUP(C7,各艇データ,6,FALSE))</f>
        <v>936.4</v>
      </c>
      <c r="X7" s="320">
        <f t="shared" ref="X7:X31" si="12">IF(ISBLANK(C7),"",VLOOKUP(C7,各艇データ,7,FALSE))</f>
        <v>591.79999999999995</v>
      </c>
      <c r="Y7" s="321">
        <f t="shared" ref="Y7:Y31" si="13">IF(ISBLANK(C7),"",VLOOKUP(C7,各艇データ,8,FALSE))</f>
        <v>526.20000000000005</v>
      </c>
      <c r="Z7" s="308"/>
      <c r="AA7" s="322">
        <f>IF(ISBLANK(B7),"",IFERROR(20*($P$3+1-$B7)/$P$3,"20.0"))</f>
        <v>20</v>
      </c>
      <c r="AB7" s="315">
        <f>IF(ISBLANK(B7),"",IFERROR(30*($P$3+1-$B7)/$P$3,"30.0"))</f>
        <v>30</v>
      </c>
      <c r="AC7" s="323">
        <f>IF(ISBLANK(B7),"",IFERROR(30*($P$3-$B7)/($P$3-1)+10,"20.0"))</f>
        <v>40</v>
      </c>
    </row>
    <row r="8" spans="1:29" ht="14.25">
      <c r="A8" s="204"/>
      <c r="B8" s="235">
        <v>2</v>
      </c>
      <c r="C8" s="236">
        <v>5752</v>
      </c>
      <c r="D8" s="237" t="str">
        <f t="shared" si="0"/>
        <v>アルファ</v>
      </c>
      <c r="E8" s="238">
        <f t="shared" si="1"/>
        <v>10.72</v>
      </c>
      <c r="F8" s="239">
        <v>1</v>
      </c>
      <c r="G8" s="240">
        <v>0.44017361111111114</v>
      </c>
      <c r="H8" s="236">
        <f t="shared" si="2"/>
        <v>3831.0000000000041</v>
      </c>
      <c r="I8" s="241">
        <f t="shared" si="3"/>
        <v>884.3</v>
      </c>
      <c r="J8" s="238"/>
      <c r="K8" s="242">
        <f t="shared" si="4"/>
        <v>-1474.7999999999952</v>
      </c>
      <c r="L8" s="240">
        <f t="shared" si="5"/>
        <v>3.5138888888889301E-3</v>
      </c>
      <c r="M8" s="243">
        <f t="shared" si="6"/>
        <v>50.600000000000591</v>
      </c>
      <c r="N8" s="244">
        <f t="shared" si="7"/>
        <v>5.6382145653876208</v>
      </c>
      <c r="O8" s="245">
        <f t="shared" ref="O8:O16" si="14">ROUND(IF($O$6="MAX=20",AA8,IF($O$6="MAX=30",AB8,IF($O$6="MAX=40",AC8,""))),1)</f>
        <v>27.9</v>
      </c>
      <c r="P8" s="246"/>
      <c r="Q8" s="247"/>
      <c r="R8" s="298"/>
      <c r="S8" s="293"/>
      <c r="T8" s="316">
        <f t="shared" si="8"/>
        <v>10.72</v>
      </c>
      <c r="U8" s="317">
        <f t="shared" si="9"/>
        <v>10.18</v>
      </c>
      <c r="V8" s="318">
        <f t="shared" si="10"/>
        <v>9.92</v>
      </c>
      <c r="W8" s="319">
        <f t="shared" si="11"/>
        <v>884.3</v>
      </c>
      <c r="X8" s="320">
        <f t="shared" si="12"/>
        <v>557</v>
      </c>
      <c r="Y8" s="321">
        <f t="shared" si="13"/>
        <v>492.1</v>
      </c>
      <c r="Z8" s="308"/>
      <c r="AA8" s="322">
        <f t="shared" ref="AA8:AA26" si="15">IF(ISBLANK(B8),"",IFERROR(20*($P$3+1-$B8)/$P$3,"20.0"))</f>
        <v>18.571428571428573</v>
      </c>
      <c r="AB8" s="315">
        <f t="shared" ref="AB8:AB26" si="16">IF(ISBLANK(B8),"",IFERROR(30*($P$3+1-$B8)/$P$3,"30.0"))</f>
        <v>27.857142857142858</v>
      </c>
      <c r="AC8" s="323">
        <f t="shared" ref="AC8:AC26" si="17">IF(ISBLANK(B8),"",IFERROR(30*($P$3-$B8)/($P$3-1)+10,"20.0"))</f>
        <v>37.692307692307693</v>
      </c>
    </row>
    <row r="9" spans="1:29" ht="14.25">
      <c r="A9" s="204"/>
      <c r="B9" s="235">
        <v>3</v>
      </c>
      <c r="C9" s="236">
        <v>321</v>
      </c>
      <c r="D9" s="237" t="str">
        <f t="shared" si="0"/>
        <v>かまくら</v>
      </c>
      <c r="E9" s="238">
        <f t="shared" si="1"/>
        <v>10.15</v>
      </c>
      <c r="F9" s="239">
        <v>3</v>
      </c>
      <c r="G9" s="240">
        <v>0.44190972222222219</v>
      </c>
      <c r="H9" s="236">
        <f t="shared" si="2"/>
        <v>3980.9999999999986</v>
      </c>
      <c r="I9" s="241">
        <f t="shared" si="3"/>
        <v>900.8</v>
      </c>
      <c r="J9" s="238"/>
      <c r="K9" s="242">
        <f t="shared" si="4"/>
        <v>-1423.8000000000006</v>
      </c>
      <c r="L9" s="240">
        <f t="shared" si="5"/>
        <v>4.1041666666666449E-3</v>
      </c>
      <c r="M9" s="243">
        <f t="shared" si="6"/>
        <v>59.099999999999682</v>
      </c>
      <c r="N9" s="244">
        <f t="shared" si="7"/>
        <v>5.4257724189902055</v>
      </c>
      <c r="O9" s="245">
        <f t="shared" si="14"/>
        <v>25.7</v>
      </c>
      <c r="P9" s="246"/>
      <c r="Q9" s="247"/>
      <c r="R9" s="298"/>
      <c r="S9" s="293"/>
      <c r="T9" s="316">
        <f t="shared" si="8"/>
        <v>10.15</v>
      </c>
      <c r="U9" s="317">
        <f t="shared" si="9"/>
        <v>9.51</v>
      </c>
      <c r="V9" s="318">
        <f t="shared" si="10"/>
        <v>9.44</v>
      </c>
      <c r="W9" s="319">
        <f t="shared" si="11"/>
        <v>900.8</v>
      </c>
      <c r="X9" s="320">
        <f t="shared" si="12"/>
        <v>570.5</v>
      </c>
      <c r="Y9" s="321">
        <f t="shared" si="13"/>
        <v>502.2</v>
      </c>
      <c r="Z9" s="308"/>
      <c r="AA9" s="322">
        <f t="shared" si="15"/>
        <v>17.142857142857142</v>
      </c>
      <c r="AB9" s="315">
        <f t="shared" si="16"/>
        <v>25.714285714285715</v>
      </c>
      <c r="AC9" s="323">
        <f t="shared" si="17"/>
        <v>35.384615384615387</v>
      </c>
    </row>
    <row r="10" spans="1:29" ht="14.25">
      <c r="A10" s="204"/>
      <c r="B10" s="235">
        <v>4</v>
      </c>
      <c r="C10" s="236">
        <v>1611</v>
      </c>
      <c r="D10" s="237" t="str">
        <f t="shared" si="0"/>
        <v>ﾈﾌﾟﾁｭｰﾝXⅡ</v>
      </c>
      <c r="E10" s="238">
        <f t="shared" si="1"/>
        <v>8.2100000000000009</v>
      </c>
      <c r="F10" s="239">
        <v>5</v>
      </c>
      <c r="G10" s="240">
        <v>0.44750000000000001</v>
      </c>
      <c r="H10" s="236">
        <f t="shared" si="2"/>
        <v>4464.0000000000027</v>
      </c>
      <c r="I10" s="241">
        <f t="shared" si="3"/>
        <v>968.4</v>
      </c>
      <c r="J10" s="238"/>
      <c r="K10" s="242">
        <f t="shared" si="4"/>
        <v>-1346.3999999999969</v>
      </c>
      <c r="L10" s="240">
        <f t="shared" si="5"/>
        <v>5.0000000000000209E-3</v>
      </c>
      <c r="M10" s="243">
        <f t="shared" si="6"/>
        <v>72.000000000000298</v>
      </c>
      <c r="N10" s="244">
        <f t="shared" si="7"/>
        <v>4.8387096774193523</v>
      </c>
      <c r="O10" s="245">
        <f t="shared" si="14"/>
        <v>23.6</v>
      </c>
      <c r="P10" s="331"/>
      <c r="Q10" s="247"/>
      <c r="R10" s="298"/>
      <c r="S10" s="293"/>
      <c r="T10" s="316">
        <f t="shared" si="8"/>
        <v>8.2100000000000009</v>
      </c>
      <c r="U10" s="317">
        <f t="shared" si="9"/>
        <v>8.15</v>
      </c>
      <c r="V10" s="318">
        <f t="shared" si="10"/>
        <v>7.98</v>
      </c>
      <c r="W10" s="319">
        <f t="shared" si="11"/>
        <v>968.4</v>
      </c>
      <c r="X10" s="320">
        <f t="shared" si="12"/>
        <v>602.20000000000005</v>
      </c>
      <c r="Y10" s="321">
        <f t="shared" si="13"/>
        <v>538.1</v>
      </c>
      <c r="Z10" s="308"/>
      <c r="AA10" s="322">
        <f t="shared" si="15"/>
        <v>15.714285714285714</v>
      </c>
      <c r="AB10" s="315">
        <f t="shared" si="16"/>
        <v>23.571428571428573</v>
      </c>
      <c r="AC10" s="323">
        <f t="shared" si="17"/>
        <v>33.07692307692308</v>
      </c>
    </row>
    <row r="11" spans="1:29" ht="14.25">
      <c r="A11" s="204"/>
      <c r="B11" s="248">
        <v>5</v>
      </c>
      <c r="C11" s="249">
        <v>1733</v>
      </c>
      <c r="D11" s="250" t="str">
        <f t="shared" si="0"/>
        <v>ケロニア</v>
      </c>
      <c r="E11" s="251">
        <f t="shared" si="1"/>
        <v>9.67</v>
      </c>
      <c r="F11" s="252">
        <v>4</v>
      </c>
      <c r="G11" s="253">
        <v>0.44473379629629628</v>
      </c>
      <c r="H11" s="254">
        <f t="shared" si="2"/>
        <v>4225</v>
      </c>
      <c r="I11" s="255">
        <f t="shared" si="3"/>
        <v>915.7</v>
      </c>
      <c r="J11" s="256"/>
      <c r="K11" s="257">
        <f t="shared" si="4"/>
        <v>-1269.2000000000007</v>
      </c>
      <c r="L11" s="258">
        <f t="shared" si="5"/>
        <v>5.893518518518495E-3</v>
      </c>
      <c r="M11" s="259">
        <f t="shared" si="6"/>
        <v>84.866666666666333</v>
      </c>
      <c r="N11" s="260">
        <f t="shared" si="7"/>
        <v>5.112426035502958</v>
      </c>
      <c r="O11" s="261">
        <f t="shared" si="14"/>
        <v>21.4</v>
      </c>
      <c r="P11" s="262"/>
      <c r="Q11" s="263"/>
      <c r="R11" s="298"/>
      <c r="S11" s="293"/>
      <c r="T11" s="316">
        <f t="shared" si="8"/>
        <v>9.67</v>
      </c>
      <c r="U11" s="317">
        <f t="shared" si="9"/>
        <v>9.44</v>
      </c>
      <c r="V11" s="318">
        <f t="shared" si="10"/>
        <v>9.35</v>
      </c>
      <c r="W11" s="319">
        <f t="shared" si="11"/>
        <v>915.7</v>
      </c>
      <c r="X11" s="320">
        <f t="shared" si="12"/>
        <v>572.1</v>
      </c>
      <c r="Y11" s="321">
        <f t="shared" si="13"/>
        <v>504.3</v>
      </c>
      <c r="Z11" s="308"/>
      <c r="AA11" s="322">
        <f t="shared" si="15"/>
        <v>14.285714285714286</v>
      </c>
      <c r="AB11" s="315">
        <f t="shared" si="16"/>
        <v>21.428571428571427</v>
      </c>
      <c r="AC11" s="323">
        <f t="shared" si="17"/>
        <v>30.76923076923077</v>
      </c>
    </row>
    <row r="12" spans="1:29" ht="14.25">
      <c r="A12" s="204"/>
      <c r="B12" s="222">
        <v>6</v>
      </c>
      <c r="C12" s="223">
        <v>312</v>
      </c>
      <c r="D12" s="224" t="str">
        <f t="shared" si="0"/>
        <v>はやとり</v>
      </c>
      <c r="E12" s="225">
        <f t="shared" si="1"/>
        <v>8.31</v>
      </c>
      <c r="F12" s="226">
        <v>6</v>
      </c>
      <c r="G12" s="227">
        <v>0.44900462962962967</v>
      </c>
      <c r="H12" s="223">
        <f t="shared" si="2"/>
        <v>4594.0000000000055</v>
      </c>
      <c r="I12" s="228">
        <f t="shared" si="3"/>
        <v>964.4</v>
      </c>
      <c r="J12" s="225"/>
      <c r="K12" s="229">
        <f t="shared" si="4"/>
        <v>-1192.3999999999942</v>
      </c>
      <c r="L12" s="227">
        <f t="shared" si="5"/>
        <v>6.78240740740746E-3</v>
      </c>
      <c r="M12" s="230">
        <f t="shared" si="6"/>
        <v>97.666666666667425</v>
      </c>
      <c r="N12" s="231">
        <f t="shared" si="7"/>
        <v>4.7017849368741782</v>
      </c>
      <c r="O12" s="232">
        <f t="shared" si="14"/>
        <v>19.3</v>
      </c>
      <c r="P12" s="204"/>
      <c r="Q12" s="234"/>
      <c r="R12" s="298"/>
      <c r="S12" s="293"/>
      <c r="T12" s="316">
        <f t="shared" si="8"/>
        <v>8.31</v>
      </c>
      <c r="U12" s="317">
        <f t="shared" si="9"/>
        <v>8.2200000000000006</v>
      </c>
      <c r="V12" s="318">
        <f t="shared" si="10"/>
        <v>8.1300000000000008</v>
      </c>
      <c r="W12" s="319">
        <f t="shared" si="11"/>
        <v>964.4</v>
      </c>
      <c r="X12" s="320">
        <f t="shared" si="12"/>
        <v>600.29999999999995</v>
      </c>
      <c r="Y12" s="321">
        <f t="shared" si="13"/>
        <v>534</v>
      </c>
      <c r="Z12" s="308"/>
      <c r="AA12" s="322">
        <f t="shared" si="15"/>
        <v>12.857142857142858</v>
      </c>
      <c r="AB12" s="315">
        <f t="shared" si="16"/>
        <v>19.285714285714285</v>
      </c>
      <c r="AC12" s="323">
        <f t="shared" si="17"/>
        <v>28.46153846153846</v>
      </c>
    </row>
    <row r="13" spans="1:29" ht="14.25">
      <c r="A13" s="204"/>
      <c r="B13" s="235">
        <v>7</v>
      </c>
      <c r="C13" s="236">
        <v>4400</v>
      </c>
      <c r="D13" s="237" t="str">
        <f t="shared" si="0"/>
        <v>アイデアル</v>
      </c>
      <c r="E13" s="238">
        <v>7.82</v>
      </c>
      <c r="F13" s="239">
        <v>8</v>
      </c>
      <c r="G13" s="240">
        <v>0.45067129629629626</v>
      </c>
      <c r="H13" s="236">
        <f t="shared" si="2"/>
        <v>4737.9999999999991</v>
      </c>
      <c r="I13" s="241">
        <v>984.4</v>
      </c>
      <c r="J13" s="238"/>
      <c r="K13" s="242">
        <f t="shared" si="4"/>
        <v>-1168.4000000000005</v>
      </c>
      <c r="L13" s="240">
        <f t="shared" si="5"/>
        <v>7.0601851851851642E-3</v>
      </c>
      <c r="M13" s="243">
        <f t="shared" si="6"/>
        <v>101.66666666666636</v>
      </c>
      <c r="N13" s="244">
        <f t="shared" si="7"/>
        <v>4.5588856057408202</v>
      </c>
      <c r="O13" s="245">
        <f t="shared" si="14"/>
        <v>17.100000000000001</v>
      </c>
      <c r="P13" s="246"/>
      <c r="Q13" s="247"/>
      <c r="R13" s="298"/>
      <c r="S13" s="293"/>
      <c r="T13" s="316">
        <f t="shared" si="8"/>
        <v>9.4700000000000006</v>
      </c>
      <c r="U13" s="317">
        <f t="shared" si="9"/>
        <v>9.0399999999999991</v>
      </c>
      <c r="V13" s="318">
        <f t="shared" si="10"/>
        <v>8.65</v>
      </c>
      <c r="W13" s="319">
        <f t="shared" si="11"/>
        <v>922.4</v>
      </c>
      <c r="X13" s="320">
        <f t="shared" si="12"/>
        <v>580.9</v>
      </c>
      <c r="Y13" s="321">
        <f t="shared" si="13"/>
        <v>520.71488932356897</v>
      </c>
      <c r="Z13" s="308"/>
      <c r="AA13" s="322">
        <f t="shared" si="15"/>
        <v>11.428571428571429</v>
      </c>
      <c r="AB13" s="315">
        <f t="shared" si="16"/>
        <v>17.142857142857142</v>
      </c>
      <c r="AC13" s="323">
        <f t="shared" si="17"/>
        <v>26.153846153846153</v>
      </c>
    </row>
    <row r="14" spans="1:29" ht="14.25">
      <c r="A14" s="204"/>
      <c r="B14" s="235">
        <v>8</v>
      </c>
      <c r="C14" s="236">
        <v>5496</v>
      </c>
      <c r="D14" s="237" t="str">
        <f t="shared" si="0"/>
        <v>桜工</v>
      </c>
      <c r="E14" s="238">
        <f t="shared" si="1"/>
        <v>9.09</v>
      </c>
      <c r="F14" s="239">
        <v>7</v>
      </c>
      <c r="G14" s="240">
        <v>0.44996527777777778</v>
      </c>
      <c r="H14" s="236">
        <f t="shared" si="2"/>
        <v>4677.0000000000018</v>
      </c>
      <c r="I14" s="241">
        <f t="shared" si="3"/>
        <v>935.4</v>
      </c>
      <c r="J14" s="238"/>
      <c r="K14" s="242">
        <f t="shared" si="4"/>
        <v>-935.39999999999782</v>
      </c>
      <c r="L14" s="240">
        <f t="shared" si="5"/>
        <v>9.7569444444444552E-3</v>
      </c>
      <c r="M14" s="243">
        <f t="shared" si="6"/>
        <v>140.50000000000014</v>
      </c>
      <c r="N14" s="244">
        <f t="shared" si="7"/>
        <v>4.6183450930083367</v>
      </c>
      <c r="O14" s="245">
        <f t="shared" si="14"/>
        <v>15</v>
      </c>
      <c r="P14" s="246"/>
      <c r="Q14" s="247"/>
      <c r="R14" s="298"/>
      <c r="S14" s="293"/>
      <c r="T14" s="316">
        <f t="shared" si="8"/>
        <v>9.09</v>
      </c>
      <c r="U14" s="317">
        <f t="shared" si="9"/>
        <v>8.64</v>
      </c>
      <c r="V14" s="318">
        <f t="shared" si="10"/>
        <v>8.74</v>
      </c>
      <c r="W14" s="319">
        <f t="shared" si="11"/>
        <v>935.4</v>
      </c>
      <c r="X14" s="320">
        <f t="shared" si="12"/>
        <v>590.1</v>
      </c>
      <c r="Y14" s="321">
        <f t="shared" si="13"/>
        <v>518.5</v>
      </c>
      <c r="Z14" s="308"/>
      <c r="AA14" s="322">
        <f t="shared" si="15"/>
        <v>10</v>
      </c>
      <c r="AB14" s="315">
        <f t="shared" si="16"/>
        <v>15</v>
      </c>
      <c r="AC14" s="323">
        <f t="shared" si="17"/>
        <v>23.846153846153847</v>
      </c>
    </row>
    <row r="15" spans="1:29" ht="14.25">
      <c r="A15" s="204"/>
      <c r="B15" s="235">
        <v>9</v>
      </c>
      <c r="C15" s="236">
        <v>346</v>
      </c>
      <c r="D15" s="237" t="str">
        <f t="shared" si="0"/>
        <v>飛車角</v>
      </c>
      <c r="E15" s="238">
        <f t="shared" si="1"/>
        <v>8.61</v>
      </c>
      <c r="F15" s="239">
        <v>11</v>
      </c>
      <c r="G15" s="240">
        <v>0.45244212962962965</v>
      </c>
      <c r="H15" s="236">
        <f t="shared" si="2"/>
        <v>4891.0000000000036</v>
      </c>
      <c r="I15" s="241">
        <f t="shared" si="3"/>
        <v>952.6</v>
      </c>
      <c r="J15" s="238"/>
      <c r="K15" s="242">
        <f t="shared" si="4"/>
        <v>-824.59999999999673</v>
      </c>
      <c r="L15" s="240">
        <f t="shared" si="5"/>
        <v>1.1039351851851875E-2</v>
      </c>
      <c r="M15" s="243">
        <f t="shared" si="6"/>
        <v>158.96666666666701</v>
      </c>
      <c r="N15" s="244">
        <f t="shared" si="7"/>
        <v>4.4162747904314017</v>
      </c>
      <c r="O15" s="245">
        <f t="shared" si="14"/>
        <v>12.9</v>
      </c>
      <c r="P15" s="246"/>
      <c r="Q15" s="247"/>
      <c r="R15" s="298"/>
      <c r="S15" s="293"/>
      <c r="T15" s="316">
        <f t="shared" si="8"/>
        <v>8.61</v>
      </c>
      <c r="U15" s="317">
        <f t="shared" si="9"/>
        <v>8.58</v>
      </c>
      <c r="V15" s="318">
        <f t="shared" si="10"/>
        <v>8.68</v>
      </c>
      <c r="W15" s="319">
        <f t="shared" si="11"/>
        <v>952.6</v>
      </c>
      <c r="X15" s="320">
        <f t="shared" si="12"/>
        <v>591.5</v>
      </c>
      <c r="Y15" s="321">
        <f t="shared" si="13"/>
        <v>519.79999999999995</v>
      </c>
      <c r="Z15" s="308"/>
      <c r="AA15" s="322">
        <f t="shared" si="15"/>
        <v>8.5714285714285712</v>
      </c>
      <c r="AB15" s="315">
        <f t="shared" si="16"/>
        <v>12.857142857142858</v>
      </c>
      <c r="AC15" s="323">
        <f t="shared" si="17"/>
        <v>21.53846153846154</v>
      </c>
    </row>
    <row r="16" spans="1:29" ht="14.25">
      <c r="A16" s="204"/>
      <c r="B16" s="248">
        <v>10</v>
      </c>
      <c r="C16" s="249">
        <v>6766</v>
      </c>
      <c r="D16" s="250" t="str">
        <f t="shared" si="0"/>
        <v>くろしお</v>
      </c>
      <c r="E16" s="251">
        <f t="shared" si="1"/>
        <v>9.0500000000000007</v>
      </c>
      <c r="F16" s="252">
        <v>10</v>
      </c>
      <c r="G16" s="253">
        <v>0.45168981481481479</v>
      </c>
      <c r="H16" s="249">
        <f t="shared" si="2"/>
        <v>4826</v>
      </c>
      <c r="I16" s="265">
        <f t="shared" si="3"/>
        <v>936.7</v>
      </c>
      <c r="J16" s="251"/>
      <c r="K16" s="267">
        <f t="shared" si="4"/>
        <v>-794.20000000000073</v>
      </c>
      <c r="L16" s="253">
        <f t="shared" si="5"/>
        <v>1.1391203703703681E-2</v>
      </c>
      <c r="M16" s="268">
        <f t="shared" si="6"/>
        <v>164.03333333333299</v>
      </c>
      <c r="N16" s="269">
        <f t="shared" si="7"/>
        <v>4.4757563199336925</v>
      </c>
      <c r="O16" s="270">
        <f t="shared" si="14"/>
        <v>10.7</v>
      </c>
      <c r="P16" s="262"/>
      <c r="Q16" s="263"/>
      <c r="R16" s="298"/>
      <c r="S16" s="293"/>
      <c r="T16" s="316">
        <f t="shared" si="8"/>
        <v>9.0500000000000007</v>
      </c>
      <c r="U16" s="317">
        <f t="shared" si="9"/>
        <v>8.57</v>
      </c>
      <c r="V16" s="318">
        <f t="shared" si="10"/>
        <v>8.58</v>
      </c>
      <c r="W16" s="319">
        <f t="shared" si="11"/>
        <v>936.7</v>
      </c>
      <c r="X16" s="320">
        <f t="shared" si="12"/>
        <v>591.79999999999995</v>
      </c>
      <c r="Y16" s="321">
        <f t="shared" si="13"/>
        <v>522.5</v>
      </c>
      <c r="Z16" s="308"/>
      <c r="AA16" s="322">
        <f t="shared" si="15"/>
        <v>7.1428571428571432</v>
      </c>
      <c r="AB16" s="315">
        <f t="shared" si="16"/>
        <v>10.714285714285714</v>
      </c>
      <c r="AC16" s="323">
        <f t="shared" si="17"/>
        <v>19.23076923076923</v>
      </c>
    </row>
    <row r="17" spans="1:29" ht="14.25">
      <c r="A17" s="204"/>
      <c r="B17" s="222">
        <v>11</v>
      </c>
      <c r="C17" s="223">
        <v>4010</v>
      </c>
      <c r="D17" s="224" t="str">
        <f t="shared" si="0"/>
        <v>ナジャ</v>
      </c>
      <c r="E17" s="225">
        <f t="shared" si="1"/>
        <v>10.47</v>
      </c>
      <c r="F17" s="226">
        <v>9</v>
      </c>
      <c r="G17" s="227">
        <v>0.45141203703703708</v>
      </c>
      <c r="H17" s="271">
        <f t="shared" si="2"/>
        <v>4802.0000000000055</v>
      </c>
      <c r="I17" s="272">
        <f t="shared" si="3"/>
        <v>891.5</v>
      </c>
      <c r="J17" s="273"/>
      <c r="K17" s="274">
        <f t="shared" si="4"/>
        <v>-546.99999999999454</v>
      </c>
      <c r="L17" s="275">
        <f t="shared" si="5"/>
        <v>1.4252314814814863E-2</v>
      </c>
      <c r="M17" s="276">
        <f t="shared" si="6"/>
        <v>205.23333333333403</v>
      </c>
      <c r="N17" s="277">
        <f t="shared" si="7"/>
        <v>4.4981257809246094</v>
      </c>
      <c r="O17" s="278">
        <f>ROUND(IF($O$6="MAX=20",AA17,IF($O$6="MAX=30",AB17,IF($O$6="MAX=40",AC17,""))),1)</f>
        <v>8.6</v>
      </c>
      <c r="P17" s="233"/>
      <c r="Q17" s="234"/>
      <c r="R17" s="298"/>
      <c r="S17" s="293"/>
      <c r="T17" s="316">
        <f t="shared" si="8"/>
        <v>10.47</v>
      </c>
      <c r="U17" s="317">
        <f t="shared" si="9"/>
        <v>10.24</v>
      </c>
      <c r="V17" s="318">
        <f t="shared" si="10"/>
        <v>10.039999999999999</v>
      </c>
      <c r="W17" s="319">
        <f t="shared" si="11"/>
        <v>891.5</v>
      </c>
      <c r="X17" s="320">
        <f t="shared" si="12"/>
        <v>555.9</v>
      </c>
      <c r="Y17" s="321">
        <f t="shared" si="13"/>
        <v>489.8</v>
      </c>
      <c r="Z17" s="308"/>
      <c r="AA17" s="322">
        <f t="shared" si="15"/>
        <v>5.7142857142857144</v>
      </c>
      <c r="AB17" s="315">
        <f t="shared" si="16"/>
        <v>8.5714285714285712</v>
      </c>
      <c r="AC17" s="323">
        <f t="shared" si="17"/>
        <v>16.923076923076923</v>
      </c>
    </row>
    <row r="18" spans="1:29" ht="14.25">
      <c r="A18" s="204"/>
      <c r="B18" s="235">
        <v>12</v>
      </c>
      <c r="C18" s="264">
        <v>2759</v>
      </c>
      <c r="D18" s="237" t="str">
        <f t="shared" si="0"/>
        <v>イクソラⅢ</v>
      </c>
      <c r="E18" s="238">
        <f t="shared" si="1"/>
        <v>6.75</v>
      </c>
      <c r="F18" s="239">
        <v>12</v>
      </c>
      <c r="G18" s="240">
        <v>0.46258101851851857</v>
      </c>
      <c r="H18" s="236">
        <f t="shared" si="2"/>
        <v>5767.0000000000064</v>
      </c>
      <c r="I18" s="241">
        <f t="shared" si="3"/>
        <v>1034.8</v>
      </c>
      <c r="J18" s="238"/>
      <c r="K18" s="242">
        <f t="shared" si="4"/>
        <v>-441.79999999999291</v>
      </c>
      <c r="L18" s="240">
        <f t="shared" si="5"/>
        <v>1.5469907407407476E-2</v>
      </c>
      <c r="M18" s="243">
        <f t="shared" si="6"/>
        <v>222.76666666666765</v>
      </c>
      <c r="N18" s="244">
        <f t="shared" si="7"/>
        <v>3.745448239986124</v>
      </c>
      <c r="O18" s="245">
        <f>ROUND(IF($O$6="MAX=20",AA18,IF($O$6="MAX=30",AB18,IF($O$6="MAX=40",AC18,""))),1)</f>
        <v>6.4</v>
      </c>
      <c r="P18" s="246"/>
      <c r="Q18" s="247"/>
      <c r="R18" s="298"/>
      <c r="S18" s="293"/>
      <c r="T18" s="316">
        <f t="shared" si="8"/>
        <v>6.75</v>
      </c>
      <c r="U18" s="317">
        <f t="shared" si="9"/>
        <v>6.67</v>
      </c>
      <c r="V18" s="318">
        <f t="shared" si="10"/>
        <v>6.68</v>
      </c>
      <c r="W18" s="319">
        <f t="shared" si="11"/>
        <v>1034.8</v>
      </c>
      <c r="X18" s="320">
        <f t="shared" si="12"/>
        <v>646</v>
      </c>
      <c r="Y18" s="321">
        <f t="shared" si="13"/>
        <v>578.79999999999995</v>
      </c>
      <c r="Z18" s="308"/>
      <c r="AA18" s="322">
        <f t="shared" si="15"/>
        <v>4.2857142857142856</v>
      </c>
      <c r="AB18" s="315">
        <f t="shared" si="16"/>
        <v>6.4285714285714288</v>
      </c>
      <c r="AC18" s="323">
        <f t="shared" si="17"/>
        <v>14.615384615384615</v>
      </c>
    </row>
    <row r="19" spans="1:29" ht="14.25">
      <c r="A19" s="204"/>
      <c r="B19" s="235">
        <v>13</v>
      </c>
      <c r="C19" s="236">
        <v>131</v>
      </c>
      <c r="D19" s="237" t="str">
        <f t="shared" si="0"/>
        <v>ふるたか</v>
      </c>
      <c r="E19" s="238">
        <f t="shared" si="1"/>
        <v>8.2899999999999991</v>
      </c>
      <c r="F19" s="239">
        <v>13</v>
      </c>
      <c r="G19" s="240">
        <v>0.46303240740740742</v>
      </c>
      <c r="H19" s="236">
        <f t="shared" si="2"/>
        <v>5806.0000000000027</v>
      </c>
      <c r="I19" s="241">
        <f t="shared" si="3"/>
        <v>965.1</v>
      </c>
      <c r="J19" s="238"/>
      <c r="K19" s="242">
        <f t="shared" si="4"/>
        <v>15.400000000002365</v>
      </c>
      <c r="L19" s="240">
        <f t="shared" si="5"/>
        <v>2.0761574074074085E-2</v>
      </c>
      <c r="M19" s="243">
        <f t="shared" si="6"/>
        <v>298.96666666666687</v>
      </c>
      <c r="N19" s="244">
        <f t="shared" si="7"/>
        <v>3.7202893558387857</v>
      </c>
      <c r="O19" s="245">
        <f>ROUND(IF($O$6="MAX=20",AA19,IF($O$6="MAX=30",AB19,IF($O$6="MAX=40",AC19,""))),1)</f>
        <v>4.3</v>
      </c>
      <c r="P19" s="246"/>
      <c r="Q19" s="247"/>
      <c r="R19" s="298"/>
      <c r="S19" s="293"/>
      <c r="T19" s="316">
        <f t="shared" si="8"/>
        <v>8.2899999999999991</v>
      </c>
      <c r="U19" s="317">
        <f t="shared" si="9"/>
        <v>8.31</v>
      </c>
      <c r="V19" s="318">
        <f t="shared" si="10"/>
        <v>8.0500000000000007</v>
      </c>
      <c r="W19" s="319">
        <f t="shared" si="11"/>
        <v>965.1</v>
      </c>
      <c r="X19" s="320">
        <f t="shared" si="12"/>
        <v>598.20000000000005</v>
      </c>
      <c r="Y19" s="321">
        <f t="shared" si="13"/>
        <v>536.29999999999995</v>
      </c>
      <c r="Z19" s="308"/>
      <c r="AA19" s="322">
        <f t="shared" si="15"/>
        <v>2.8571428571428572</v>
      </c>
      <c r="AB19" s="315">
        <f t="shared" si="16"/>
        <v>4.2857142857142856</v>
      </c>
      <c r="AC19" s="323">
        <f t="shared" si="17"/>
        <v>12.307692307692307</v>
      </c>
    </row>
    <row r="20" spans="1:29" ht="14.25">
      <c r="A20" s="204"/>
      <c r="B20" s="235">
        <v>14</v>
      </c>
      <c r="C20" s="236">
        <v>2212</v>
      </c>
      <c r="D20" s="237" t="str">
        <f t="shared" si="0"/>
        <v>衣笠</v>
      </c>
      <c r="E20" s="238">
        <f t="shared" si="1"/>
        <v>8.8000000000000007</v>
      </c>
      <c r="F20" s="239">
        <v>14</v>
      </c>
      <c r="G20" s="240">
        <v>0.4664814814814815</v>
      </c>
      <c r="H20" s="236">
        <f t="shared" si="2"/>
        <v>6104.0000000000027</v>
      </c>
      <c r="I20" s="241">
        <f t="shared" si="3"/>
        <v>945.7</v>
      </c>
      <c r="J20" s="332"/>
      <c r="K20" s="242">
        <f t="shared" si="4"/>
        <v>429.800000000002</v>
      </c>
      <c r="L20" s="240">
        <f t="shared" si="5"/>
        <v>2.555787037037038E-2</v>
      </c>
      <c r="M20" s="243">
        <f t="shared" si="6"/>
        <v>368.03333333333347</v>
      </c>
      <c r="N20" s="244">
        <f t="shared" si="7"/>
        <v>3.5386631716906929</v>
      </c>
      <c r="O20" s="245">
        <f>ROUND(IF($O$6="MAX=20",AA20,IF($O$6="MAX=30",AB20,IF($O$6="MAX=40",AC20,""))),1)</f>
        <v>2.1</v>
      </c>
      <c r="P20" s="281"/>
      <c r="Q20" s="247"/>
      <c r="R20" s="298"/>
      <c r="S20" s="293"/>
      <c r="T20" s="316">
        <f t="shared" si="8"/>
        <v>8.8000000000000007</v>
      </c>
      <c r="U20" s="317">
        <f t="shared" si="9"/>
        <v>8.9</v>
      </c>
      <c r="V20" s="318">
        <f t="shared" si="10"/>
        <v>9.0399999999999991</v>
      </c>
      <c r="W20" s="319">
        <f t="shared" si="11"/>
        <v>945.7</v>
      </c>
      <c r="X20" s="320">
        <f t="shared" si="12"/>
        <v>584</v>
      </c>
      <c r="Y20" s="321">
        <f t="shared" si="13"/>
        <v>511.4</v>
      </c>
      <c r="Z20" s="308"/>
      <c r="AA20" s="322">
        <f t="shared" si="15"/>
        <v>1.4285714285714286</v>
      </c>
      <c r="AB20" s="315">
        <f t="shared" si="16"/>
        <v>2.1428571428571428</v>
      </c>
      <c r="AC20" s="323">
        <f t="shared" si="17"/>
        <v>10</v>
      </c>
    </row>
    <row r="21" spans="1:29" ht="14.25">
      <c r="A21" s="204"/>
      <c r="B21" s="248"/>
      <c r="C21" s="249"/>
      <c r="D21" s="250"/>
      <c r="E21" s="251"/>
      <c r="F21" s="252"/>
      <c r="G21" s="253"/>
      <c r="H21" s="249"/>
      <c r="I21" s="265"/>
      <c r="J21" s="251"/>
      <c r="K21" s="267"/>
      <c r="L21" s="253"/>
      <c r="M21" s="268"/>
      <c r="N21" s="269"/>
      <c r="O21" s="270"/>
      <c r="P21" s="333"/>
      <c r="Q21" s="263"/>
      <c r="R21" s="298"/>
      <c r="S21" s="293"/>
      <c r="T21" s="316" t="str">
        <f t="shared" si="8"/>
        <v/>
      </c>
      <c r="U21" s="317" t="str">
        <f t="shared" si="9"/>
        <v/>
      </c>
      <c r="V21" s="318" t="str">
        <f t="shared" si="10"/>
        <v/>
      </c>
      <c r="W21" s="319" t="str">
        <f t="shared" si="11"/>
        <v/>
      </c>
      <c r="X21" s="320" t="str">
        <f t="shared" si="12"/>
        <v/>
      </c>
      <c r="Y21" s="321" t="str">
        <f t="shared" si="13"/>
        <v/>
      </c>
      <c r="Z21" s="308"/>
      <c r="AA21" s="322" t="str">
        <f t="shared" si="15"/>
        <v/>
      </c>
      <c r="AB21" s="315" t="str">
        <f t="shared" si="16"/>
        <v/>
      </c>
      <c r="AC21" s="323" t="str">
        <f t="shared" si="17"/>
        <v/>
      </c>
    </row>
    <row r="22" spans="1:29" ht="14.25">
      <c r="A22" s="204"/>
      <c r="B22" s="279"/>
      <c r="C22" s="271">
        <v>199</v>
      </c>
      <c r="D22" s="284" t="str">
        <f t="shared" ref="D22:D26" si="18">IF(ISBLANK(C22),"",VLOOKUP(C22,各艇データ,2,FALSE))</f>
        <v>サ－モン4</v>
      </c>
      <c r="E22" s="225">
        <f t="shared" ref="E22:E23" si="19">IF($I$6="Ⅰ",T22,IF($I$6="Ⅱ",U22,IF($I$6="Ⅲ",V22,"")))</f>
        <v>9.24</v>
      </c>
      <c r="F22" s="226"/>
      <c r="G22" s="275"/>
      <c r="H22" s="271" t="str">
        <f t="shared" ref="H22:H31" si="20">IFERROR(IF(G22-$Q$2&lt;=0,"",(G22-$Q$2)*86400),"")</f>
        <v/>
      </c>
      <c r="I22" s="272"/>
      <c r="J22" s="273"/>
      <c r="K22" s="274" t="str">
        <f t="shared" ref="K22:K31" si="21">IFERROR(H22*(1+0.01*J22)-I22*$N$3,"")</f>
        <v/>
      </c>
      <c r="L22" s="227" t="str">
        <f t="shared" ref="L22:L31" si="22">IFERROR((K22-$K$7)/86400,"")</f>
        <v/>
      </c>
      <c r="M22" s="230" t="str">
        <f t="shared" ref="M22:M31" si="23">IFERROR((K22-$K$7)/$N$3,"")</f>
        <v/>
      </c>
      <c r="N22" s="231" t="str">
        <f t="shared" ref="N22:N31" si="24">IFERROR($N$3/(H22/3600),"")</f>
        <v/>
      </c>
      <c r="O22" s="278">
        <v>1</v>
      </c>
      <c r="P22" s="286" t="s">
        <v>393</v>
      </c>
      <c r="Q22" s="280"/>
      <c r="R22" s="298"/>
      <c r="S22" s="293"/>
      <c r="T22" s="316">
        <f t="shared" si="8"/>
        <v>9.24</v>
      </c>
      <c r="U22" s="317">
        <f t="shared" si="9"/>
        <v>9.15</v>
      </c>
      <c r="V22" s="318">
        <f t="shared" si="10"/>
        <v>9.1</v>
      </c>
      <c r="W22" s="319">
        <f t="shared" si="11"/>
        <v>930.3</v>
      </c>
      <c r="X22" s="320">
        <f t="shared" si="12"/>
        <v>578.20000000000005</v>
      </c>
      <c r="Y22" s="321">
        <f t="shared" si="13"/>
        <v>509.9</v>
      </c>
      <c r="Z22" s="308"/>
      <c r="AA22" s="322" t="str">
        <f t="shared" si="15"/>
        <v/>
      </c>
      <c r="AB22" s="315" t="str">
        <f t="shared" si="16"/>
        <v/>
      </c>
      <c r="AC22" s="323" t="str">
        <f t="shared" si="17"/>
        <v/>
      </c>
    </row>
    <row r="23" spans="1:29" ht="14.25">
      <c r="A23" s="204"/>
      <c r="B23" s="235"/>
      <c r="C23" s="236">
        <v>1985</v>
      </c>
      <c r="D23" s="237" t="str">
        <f t="shared" si="18"/>
        <v>波勝</v>
      </c>
      <c r="E23" s="238">
        <f t="shared" si="19"/>
        <v>7.33</v>
      </c>
      <c r="F23" s="239"/>
      <c r="G23" s="240"/>
      <c r="H23" s="236" t="str">
        <f t="shared" si="20"/>
        <v/>
      </c>
      <c r="I23" s="241"/>
      <c r="J23" s="238"/>
      <c r="K23" s="242" t="str">
        <f t="shared" si="21"/>
        <v/>
      </c>
      <c r="L23" s="240" t="str">
        <f t="shared" si="22"/>
        <v/>
      </c>
      <c r="M23" s="243" t="str">
        <f t="shared" si="23"/>
        <v/>
      </c>
      <c r="N23" s="244" t="str">
        <f t="shared" si="24"/>
        <v/>
      </c>
      <c r="O23" s="245">
        <v>1</v>
      </c>
      <c r="P23" s="281" t="s">
        <v>394</v>
      </c>
      <c r="Q23" s="247"/>
      <c r="R23" s="298"/>
      <c r="S23" s="293"/>
      <c r="T23" s="316">
        <f t="shared" si="8"/>
        <v>7.33</v>
      </c>
      <c r="U23" s="317">
        <f t="shared" si="9"/>
        <v>6.97</v>
      </c>
      <c r="V23" s="318">
        <f t="shared" si="10"/>
        <v>6.85</v>
      </c>
      <c r="W23" s="319">
        <f t="shared" si="11"/>
        <v>1006.4</v>
      </c>
      <c r="X23" s="320">
        <f t="shared" si="12"/>
        <v>636</v>
      </c>
      <c r="Y23" s="321">
        <f t="shared" si="13"/>
        <v>572.79999999999995</v>
      </c>
      <c r="Z23" s="308"/>
      <c r="AA23" s="322" t="str">
        <f t="shared" si="15"/>
        <v/>
      </c>
      <c r="AB23" s="315" t="str">
        <f t="shared" si="16"/>
        <v/>
      </c>
      <c r="AC23" s="323" t="str">
        <f t="shared" si="17"/>
        <v/>
      </c>
    </row>
    <row r="24" spans="1:29" ht="14.25">
      <c r="A24" s="204"/>
      <c r="B24" s="235"/>
      <c r="C24" s="236"/>
      <c r="D24" s="237" t="str">
        <f t="shared" si="18"/>
        <v/>
      </c>
      <c r="E24" s="238"/>
      <c r="F24" s="239"/>
      <c r="G24" s="240"/>
      <c r="H24" s="236" t="str">
        <f t="shared" si="20"/>
        <v/>
      </c>
      <c r="I24" s="241" t="str">
        <f t="shared" ref="I24:I31" si="25">IF($I$6="Ⅰ",W24,IF($I$6="Ⅱ",X24,IF($I$6="Ⅲ",Y24,"")))</f>
        <v/>
      </c>
      <c r="J24" s="238"/>
      <c r="K24" s="242" t="str">
        <f t="shared" si="21"/>
        <v/>
      </c>
      <c r="L24" s="240" t="str">
        <f t="shared" si="22"/>
        <v/>
      </c>
      <c r="M24" s="243" t="str">
        <f t="shared" si="23"/>
        <v/>
      </c>
      <c r="N24" s="244" t="str">
        <f t="shared" si="24"/>
        <v/>
      </c>
      <c r="O24" s="245"/>
      <c r="P24" s="282"/>
      <c r="Q24" s="247"/>
      <c r="R24" s="298"/>
      <c r="S24" s="293"/>
      <c r="T24" s="316" t="str">
        <f t="shared" si="8"/>
        <v/>
      </c>
      <c r="U24" s="317" t="str">
        <f t="shared" si="9"/>
        <v/>
      </c>
      <c r="V24" s="318" t="str">
        <f t="shared" si="10"/>
        <v/>
      </c>
      <c r="W24" s="319" t="str">
        <f t="shared" si="11"/>
        <v/>
      </c>
      <c r="X24" s="320" t="str">
        <f t="shared" si="12"/>
        <v/>
      </c>
      <c r="Y24" s="321" t="str">
        <f t="shared" si="13"/>
        <v/>
      </c>
      <c r="Z24" s="308"/>
      <c r="AA24" s="322" t="str">
        <f t="shared" si="15"/>
        <v/>
      </c>
      <c r="AB24" s="315" t="str">
        <f t="shared" si="16"/>
        <v/>
      </c>
      <c r="AC24" s="323" t="str">
        <f t="shared" si="17"/>
        <v/>
      </c>
    </row>
    <row r="25" spans="1:29" ht="14.25">
      <c r="A25" s="204"/>
      <c r="B25" s="235"/>
      <c r="C25" s="236"/>
      <c r="D25" s="237" t="str">
        <f t="shared" si="18"/>
        <v/>
      </c>
      <c r="E25" s="238"/>
      <c r="F25" s="239"/>
      <c r="G25" s="240"/>
      <c r="H25" s="236" t="str">
        <f t="shared" si="20"/>
        <v/>
      </c>
      <c r="I25" s="241" t="str">
        <f t="shared" si="25"/>
        <v/>
      </c>
      <c r="J25" s="238"/>
      <c r="K25" s="242" t="str">
        <f t="shared" si="21"/>
        <v/>
      </c>
      <c r="L25" s="240" t="str">
        <f t="shared" si="22"/>
        <v/>
      </c>
      <c r="M25" s="243" t="str">
        <f t="shared" si="23"/>
        <v/>
      </c>
      <c r="N25" s="244" t="str">
        <f t="shared" si="24"/>
        <v/>
      </c>
      <c r="O25" s="245"/>
      <c r="P25" s="282"/>
      <c r="Q25" s="247"/>
      <c r="R25" s="298"/>
      <c r="S25" s="293"/>
      <c r="T25" s="316" t="str">
        <f t="shared" si="8"/>
        <v/>
      </c>
      <c r="U25" s="317" t="str">
        <f t="shared" si="9"/>
        <v/>
      </c>
      <c r="V25" s="318" t="str">
        <f t="shared" si="10"/>
        <v/>
      </c>
      <c r="W25" s="319" t="str">
        <f t="shared" si="11"/>
        <v/>
      </c>
      <c r="X25" s="320" t="str">
        <f t="shared" si="12"/>
        <v/>
      </c>
      <c r="Y25" s="321" t="str">
        <f t="shared" si="13"/>
        <v/>
      </c>
      <c r="Z25" s="308"/>
      <c r="AA25" s="322" t="str">
        <f t="shared" si="15"/>
        <v/>
      </c>
      <c r="AB25" s="315" t="str">
        <f t="shared" si="16"/>
        <v/>
      </c>
      <c r="AC25" s="323" t="str">
        <f t="shared" si="17"/>
        <v/>
      </c>
    </row>
    <row r="26" spans="1:29" ht="14.25">
      <c r="A26" s="204"/>
      <c r="B26" s="248"/>
      <c r="C26" s="249"/>
      <c r="D26" s="250" t="str">
        <f t="shared" si="18"/>
        <v/>
      </c>
      <c r="E26" s="251"/>
      <c r="F26" s="252"/>
      <c r="G26" s="253"/>
      <c r="H26" s="249" t="str">
        <f t="shared" si="20"/>
        <v/>
      </c>
      <c r="I26" s="265" t="str">
        <f t="shared" si="25"/>
        <v/>
      </c>
      <c r="J26" s="251"/>
      <c r="K26" s="267" t="str">
        <f t="shared" si="21"/>
        <v/>
      </c>
      <c r="L26" s="253" t="str">
        <f t="shared" si="22"/>
        <v/>
      </c>
      <c r="M26" s="268" t="str">
        <f t="shared" si="23"/>
        <v/>
      </c>
      <c r="N26" s="269" t="str">
        <f t="shared" si="24"/>
        <v/>
      </c>
      <c r="O26" s="270"/>
      <c r="P26" s="283"/>
      <c r="Q26" s="263"/>
      <c r="R26" s="298"/>
      <c r="S26" s="293"/>
      <c r="T26" s="316" t="str">
        <f t="shared" si="8"/>
        <v/>
      </c>
      <c r="U26" s="317" t="str">
        <f t="shared" si="9"/>
        <v/>
      </c>
      <c r="V26" s="318" t="str">
        <f t="shared" si="10"/>
        <v/>
      </c>
      <c r="W26" s="319" t="str">
        <f t="shared" si="11"/>
        <v/>
      </c>
      <c r="X26" s="320" t="str">
        <f t="shared" si="12"/>
        <v/>
      </c>
      <c r="Y26" s="321" t="str">
        <f t="shared" si="13"/>
        <v/>
      </c>
      <c r="Z26" s="308"/>
      <c r="AA26" s="322" t="str">
        <f t="shared" si="15"/>
        <v/>
      </c>
      <c r="AB26" s="315" t="str">
        <f t="shared" si="16"/>
        <v/>
      </c>
      <c r="AC26" s="323" t="str">
        <f t="shared" si="17"/>
        <v/>
      </c>
    </row>
    <row r="27" spans="1:29" ht="14.25">
      <c r="A27" s="204"/>
      <c r="B27" s="279"/>
      <c r="C27" s="271"/>
      <c r="D27" s="284"/>
      <c r="E27" s="273"/>
      <c r="F27" s="285"/>
      <c r="G27" s="275"/>
      <c r="H27" s="271" t="str">
        <f t="shared" si="20"/>
        <v/>
      </c>
      <c r="I27" s="272" t="str">
        <f t="shared" si="25"/>
        <v/>
      </c>
      <c r="J27" s="273"/>
      <c r="K27" s="274" t="str">
        <f t="shared" si="21"/>
        <v/>
      </c>
      <c r="L27" s="227" t="str">
        <f t="shared" si="22"/>
        <v/>
      </c>
      <c r="M27" s="230" t="str">
        <f t="shared" si="23"/>
        <v/>
      </c>
      <c r="N27" s="231" t="str">
        <f t="shared" si="24"/>
        <v/>
      </c>
      <c r="O27" s="278"/>
      <c r="P27" s="334"/>
      <c r="Q27" s="280"/>
      <c r="R27" s="298"/>
      <c r="S27" s="293"/>
      <c r="T27" s="316" t="str">
        <f t="shared" si="8"/>
        <v/>
      </c>
      <c r="U27" s="317" t="str">
        <f t="shared" si="9"/>
        <v/>
      </c>
      <c r="V27" s="318" t="str">
        <f t="shared" si="10"/>
        <v/>
      </c>
      <c r="W27" s="319" t="str">
        <f t="shared" si="11"/>
        <v/>
      </c>
      <c r="X27" s="320" t="str">
        <f t="shared" si="12"/>
        <v/>
      </c>
      <c r="Y27" s="321" t="str">
        <f t="shared" si="13"/>
        <v/>
      </c>
      <c r="Z27" s="308"/>
      <c r="AA27" s="322" t="str">
        <f>IF(ISBLANK(B27),"",IFERROR(20*($P$3+1-$B27)/$P$3,"20.0"))</f>
        <v/>
      </c>
      <c r="AB27" s="315" t="str">
        <f>IF(ISBLANK(B27),"",IFERROR(30*($P$3+1-$B27)/$P$3,"30.0"))</f>
        <v/>
      </c>
      <c r="AC27" s="323" t="str">
        <f>IF(ISBLANK(B27),"",IFERROR(30*($P$3-$B27)/($P$3-1)+10,"20.0"))</f>
        <v/>
      </c>
    </row>
    <row r="28" spans="1:29" ht="14.25">
      <c r="A28" s="204"/>
      <c r="B28" s="235"/>
      <c r="C28" s="236"/>
      <c r="D28" s="237"/>
      <c r="E28" s="238"/>
      <c r="F28" s="239"/>
      <c r="G28" s="240"/>
      <c r="H28" s="236" t="str">
        <f t="shared" si="20"/>
        <v/>
      </c>
      <c r="I28" s="241" t="str">
        <f t="shared" si="25"/>
        <v/>
      </c>
      <c r="J28" s="238"/>
      <c r="K28" s="242" t="str">
        <f t="shared" si="21"/>
        <v/>
      </c>
      <c r="L28" s="240" t="str">
        <f t="shared" si="22"/>
        <v/>
      </c>
      <c r="M28" s="243" t="str">
        <f t="shared" si="23"/>
        <v/>
      </c>
      <c r="N28" s="244" t="str">
        <f t="shared" si="24"/>
        <v/>
      </c>
      <c r="O28" s="245"/>
      <c r="P28" s="335"/>
      <c r="Q28" s="247"/>
      <c r="R28" s="298"/>
      <c r="S28" s="293"/>
      <c r="T28" s="316" t="str">
        <f t="shared" si="8"/>
        <v/>
      </c>
      <c r="U28" s="317" t="str">
        <f t="shared" si="9"/>
        <v/>
      </c>
      <c r="V28" s="318" t="str">
        <f t="shared" si="10"/>
        <v/>
      </c>
      <c r="W28" s="319" t="str">
        <f t="shared" si="11"/>
        <v/>
      </c>
      <c r="X28" s="320" t="str">
        <f t="shared" si="12"/>
        <v/>
      </c>
      <c r="Y28" s="321" t="str">
        <f t="shared" si="13"/>
        <v/>
      </c>
      <c r="Z28" s="308"/>
      <c r="AA28" s="322" t="str">
        <f>IF(ISBLANK(B28),"",IFERROR(20*($P$3+1-$B28)/$P$3,"20.0"))</f>
        <v/>
      </c>
      <c r="AB28" s="315" t="str">
        <f>IF(ISBLANK(B28),"",IFERROR(30*($P$3+1-$B28)/$P$3,"30.0"))</f>
        <v/>
      </c>
      <c r="AC28" s="323" t="str">
        <f>IF(ISBLANK(B28),"",IFERROR(30*($P$3-$B28)/($P$3-1)+10,"20.0"))</f>
        <v/>
      </c>
    </row>
    <row r="29" spans="1:29" ht="14.25">
      <c r="A29" s="204"/>
      <c r="B29" s="235"/>
      <c r="C29" s="236"/>
      <c r="D29" s="237"/>
      <c r="E29" s="238"/>
      <c r="F29" s="239"/>
      <c r="G29" s="240"/>
      <c r="H29" s="236" t="str">
        <f t="shared" si="20"/>
        <v/>
      </c>
      <c r="I29" s="241" t="str">
        <f t="shared" si="25"/>
        <v/>
      </c>
      <c r="J29" s="238"/>
      <c r="K29" s="242" t="str">
        <f t="shared" si="21"/>
        <v/>
      </c>
      <c r="L29" s="240" t="str">
        <f t="shared" si="22"/>
        <v/>
      </c>
      <c r="M29" s="243" t="str">
        <f t="shared" si="23"/>
        <v/>
      </c>
      <c r="N29" s="244" t="str">
        <f t="shared" si="24"/>
        <v/>
      </c>
      <c r="O29" s="245"/>
      <c r="P29" s="335"/>
      <c r="Q29" s="247"/>
      <c r="R29" s="298"/>
      <c r="S29" s="293"/>
      <c r="T29" s="316" t="str">
        <f t="shared" si="8"/>
        <v/>
      </c>
      <c r="U29" s="317" t="str">
        <f t="shared" si="9"/>
        <v/>
      </c>
      <c r="V29" s="318" t="str">
        <f t="shared" si="10"/>
        <v/>
      </c>
      <c r="W29" s="319" t="str">
        <f t="shared" si="11"/>
        <v/>
      </c>
      <c r="X29" s="320" t="str">
        <f t="shared" si="12"/>
        <v/>
      </c>
      <c r="Y29" s="321" t="str">
        <f t="shared" si="13"/>
        <v/>
      </c>
      <c r="Z29" s="308"/>
      <c r="AA29" s="322" t="str">
        <f>IF(ISBLANK(B29),"",IFERROR(20*($P$3+1-$B29)/$P$3,"20.0"))</f>
        <v/>
      </c>
      <c r="AB29" s="315" t="str">
        <f>IF(ISBLANK(B29),"",IFERROR(30*($P$3+1-$B29)/$P$3,"30.0"))</f>
        <v/>
      </c>
      <c r="AC29" s="323" t="str">
        <f>IF(ISBLANK(B29),"",IFERROR(30*($P$3-$B29)/($P$3-1)+10,"20.0"))</f>
        <v/>
      </c>
    </row>
    <row r="30" spans="1:29" ht="14.25">
      <c r="A30" s="204"/>
      <c r="B30" s="235"/>
      <c r="C30" s="236"/>
      <c r="D30" s="237"/>
      <c r="E30" s="238"/>
      <c r="F30" s="239"/>
      <c r="G30" s="240"/>
      <c r="H30" s="236" t="str">
        <f t="shared" si="20"/>
        <v/>
      </c>
      <c r="I30" s="241" t="str">
        <f t="shared" si="25"/>
        <v/>
      </c>
      <c r="J30" s="238"/>
      <c r="K30" s="242" t="str">
        <f t="shared" si="21"/>
        <v/>
      </c>
      <c r="L30" s="240" t="str">
        <f t="shared" si="22"/>
        <v/>
      </c>
      <c r="M30" s="243" t="str">
        <f t="shared" si="23"/>
        <v/>
      </c>
      <c r="N30" s="244" t="str">
        <f t="shared" si="24"/>
        <v/>
      </c>
      <c r="O30" s="245"/>
      <c r="P30" s="336"/>
      <c r="Q30" s="247"/>
      <c r="R30" s="298"/>
      <c r="S30" s="293"/>
      <c r="T30" s="316" t="str">
        <f t="shared" si="8"/>
        <v/>
      </c>
      <c r="U30" s="317" t="str">
        <f t="shared" si="9"/>
        <v/>
      </c>
      <c r="V30" s="318" t="str">
        <f t="shared" si="10"/>
        <v/>
      </c>
      <c r="W30" s="319" t="str">
        <f t="shared" si="11"/>
        <v/>
      </c>
      <c r="X30" s="320" t="str">
        <f t="shared" si="12"/>
        <v/>
      </c>
      <c r="Y30" s="321" t="str">
        <f t="shared" si="13"/>
        <v/>
      </c>
      <c r="Z30" s="308"/>
      <c r="AA30" s="322" t="str">
        <f>IF(ISBLANK(B30),"",IFERROR(20*($P$3+1-$B30)/$P$3,"20.0"))</f>
        <v/>
      </c>
      <c r="AB30" s="315" t="str">
        <f>IF(ISBLANK(B30),"",IFERROR(30*($P$3+1-$B30)/$P$3,"30.0"))</f>
        <v/>
      </c>
      <c r="AC30" s="323" t="str">
        <f>IF(ISBLANK(B30),"",IFERROR(30*($P$3-$B30)/($P$3-1)+10,"20.0"))</f>
        <v/>
      </c>
    </row>
    <row r="31" spans="1:29" ht="15" thickBot="1">
      <c r="A31" s="204"/>
      <c r="B31" s="248"/>
      <c r="C31" s="249"/>
      <c r="D31" s="250"/>
      <c r="E31" s="251"/>
      <c r="F31" s="252"/>
      <c r="G31" s="253"/>
      <c r="H31" s="249" t="str">
        <f t="shared" si="20"/>
        <v/>
      </c>
      <c r="I31" s="265" t="str">
        <f t="shared" si="25"/>
        <v/>
      </c>
      <c r="J31" s="251"/>
      <c r="K31" s="267" t="str">
        <f t="shared" si="21"/>
        <v/>
      </c>
      <c r="L31" s="253" t="str">
        <f t="shared" si="22"/>
        <v/>
      </c>
      <c r="M31" s="268" t="str">
        <f t="shared" si="23"/>
        <v/>
      </c>
      <c r="N31" s="269" t="str">
        <f t="shared" si="24"/>
        <v/>
      </c>
      <c r="O31" s="270"/>
      <c r="P31" s="283"/>
      <c r="Q31" s="263"/>
      <c r="R31" s="298"/>
      <c r="S31" s="293"/>
      <c r="T31" s="324" t="str">
        <f t="shared" si="8"/>
        <v/>
      </c>
      <c r="U31" s="325" t="str">
        <f t="shared" si="9"/>
        <v/>
      </c>
      <c r="V31" s="326" t="str">
        <f t="shared" si="10"/>
        <v/>
      </c>
      <c r="W31" s="327" t="str">
        <f t="shared" si="11"/>
        <v/>
      </c>
      <c r="X31" s="328" t="str">
        <f t="shared" si="12"/>
        <v/>
      </c>
      <c r="Y31" s="329" t="str">
        <f t="shared" si="13"/>
        <v/>
      </c>
      <c r="Z31" s="308"/>
      <c r="AA31" s="322" t="str">
        <f>IF(ISBLANK(B31),"",IFERROR(20*($P$3+1-$B31)/$P$3,"20.0"))</f>
        <v/>
      </c>
      <c r="AB31" s="315" t="str">
        <f>IF(ISBLANK(B31),"",IFERROR(30*($P$3+1-$B31)/$P$3,"30.0"))</f>
        <v/>
      </c>
      <c r="AC31" s="323" t="str">
        <f>IF(ISBLANK(B31),"",IFERROR(30*($P$3-$B31)/($P$3-1)+10,"20.0"))</f>
        <v/>
      </c>
    </row>
    <row r="32" spans="1:29" ht="15" customHeight="1">
      <c r="A32" s="204"/>
      <c r="B32" s="608" t="s">
        <v>329</v>
      </c>
      <c r="C32" s="609"/>
      <c r="D32" s="610"/>
      <c r="E32" s="288" t="s">
        <v>188</v>
      </c>
      <c r="F32" s="601" t="s">
        <v>396</v>
      </c>
      <c r="G32" s="602"/>
      <c r="H32" s="592" t="s">
        <v>451</v>
      </c>
      <c r="I32" s="593"/>
      <c r="J32" s="593"/>
      <c r="K32" s="593"/>
      <c r="L32" s="593"/>
      <c r="M32" s="593"/>
      <c r="N32" s="593"/>
      <c r="O32" s="593"/>
      <c r="P32" s="593"/>
      <c r="Q32" s="594"/>
      <c r="R32" s="337"/>
      <c r="S32" s="193"/>
      <c r="T32" s="302"/>
      <c r="U32" s="302"/>
      <c r="V32" s="302"/>
      <c r="Y32" s="302"/>
      <c r="Z32" s="302"/>
    </row>
    <row r="33" spans="1:26" ht="15" customHeight="1">
      <c r="A33" s="204"/>
      <c r="B33" s="611"/>
      <c r="C33" s="612"/>
      <c r="D33" s="613"/>
      <c r="E33" s="289" t="s">
        <v>189</v>
      </c>
      <c r="F33" s="603" t="s">
        <v>397</v>
      </c>
      <c r="G33" s="604"/>
      <c r="H33" s="595"/>
      <c r="I33" s="596"/>
      <c r="J33" s="596"/>
      <c r="K33" s="596"/>
      <c r="L33" s="596"/>
      <c r="M33" s="596"/>
      <c r="N33" s="596"/>
      <c r="O33" s="596"/>
      <c r="P33" s="596"/>
      <c r="Q33" s="597"/>
      <c r="R33" s="337"/>
      <c r="S33" s="193"/>
      <c r="T33" s="302"/>
      <c r="U33" s="302"/>
      <c r="V33" s="302"/>
      <c r="Y33" s="302"/>
      <c r="Z33" s="302"/>
    </row>
    <row r="34" spans="1:26" ht="23.25" customHeight="1">
      <c r="A34" s="204"/>
      <c r="B34" s="614"/>
      <c r="C34" s="615"/>
      <c r="D34" s="616"/>
      <c r="E34" s="289" t="s">
        <v>190</v>
      </c>
      <c r="F34" s="603" t="s">
        <v>398</v>
      </c>
      <c r="G34" s="604"/>
      <c r="H34" s="595"/>
      <c r="I34" s="596"/>
      <c r="J34" s="596"/>
      <c r="K34" s="596"/>
      <c r="L34" s="596"/>
      <c r="M34" s="596"/>
      <c r="N34" s="596"/>
      <c r="O34" s="596"/>
      <c r="P34" s="596"/>
      <c r="Q34" s="597"/>
      <c r="R34" s="337"/>
      <c r="S34" s="193"/>
      <c r="T34" s="302"/>
      <c r="U34" s="302"/>
      <c r="V34" s="302"/>
      <c r="Y34" s="302"/>
      <c r="Z34" s="302"/>
    </row>
    <row r="35" spans="1:26" ht="22.5" customHeight="1">
      <c r="A35" s="204"/>
      <c r="B35" s="617" t="s">
        <v>330</v>
      </c>
      <c r="C35" s="618"/>
      <c r="D35" s="619"/>
      <c r="E35" s="626" t="s">
        <v>192</v>
      </c>
      <c r="F35" s="603" t="str">
        <f>参照ﾃﾞｰﾀ!AL13</f>
        <v>波勝</v>
      </c>
      <c r="G35" s="604"/>
      <c r="H35" s="595"/>
      <c r="I35" s="596"/>
      <c r="J35" s="596"/>
      <c r="K35" s="596"/>
      <c r="L35" s="596"/>
      <c r="M35" s="596"/>
      <c r="N35" s="596"/>
      <c r="O35" s="596"/>
      <c r="P35" s="596"/>
      <c r="Q35" s="597"/>
      <c r="R35" s="337"/>
      <c r="S35" s="193"/>
      <c r="T35" s="302"/>
      <c r="U35" s="302"/>
      <c r="V35" s="302"/>
      <c r="Y35" s="302"/>
      <c r="Z35" s="302"/>
    </row>
    <row r="36" spans="1:26" ht="15" customHeight="1">
      <c r="A36" s="204"/>
      <c r="B36" s="620"/>
      <c r="C36" s="621"/>
      <c r="D36" s="622"/>
      <c r="E36" s="627"/>
      <c r="F36" s="603" t="s">
        <v>395</v>
      </c>
      <c r="G36" s="604"/>
      <c r="H36" s="595"/>
      <c r="I36" s="596"/>
      <c r="J36" s="596"/>
      <c r="K36" s="596"/>
      <c r="L36" s="596"/>
      <c r="M36" s="596"/>
      <c r="N36" s="596"/>
      <c r="O36" s="596"/>
      <c r="P36" s="596"/>
      <c r="Q36" s="597"/>
      <c r="R36" s="337"/>
      <c r="S36" s="193"/>
      <c r="T36" s="302"/>
      <c r="U36" s="302"/>
      <c r="V36" s="302"/>
      <c r="Y36" s="302"/>
      <c r="Z36" s="302"/>
    </row>
    <row r="37" spans="1:26" ht="15" customHeight="1">
      <c r="A37" s="204"/>
      <c r="B37" s="620"/>
      <c r="C37" s="621"/>
      <c r="D37" s="622"/>
      <c r="E37" s="288" t="s">
        <v>191</v>
      </c>
      <c r="F37" s="605">
        <v>43205</v>
      </c>
      <c r="G37" s="602"/>
      <c r="H37" s="595"/>
      <c r="I37" s="596"/>
      <c r="J37" s="596"/>
      <c r="K37" s="596"/>
      <c r="L37" s="596"/>
      <c r="M37" s="596"/>
      <c r="N37" s="596"/>
      <c r="O37" s="596"/>
      <c r="P37" s="596"/>
      <c r="Q37" s="597"/>
      <c r="R37" s="337"/>
      <c r="S37" s="193"/>
      <c r="T37" s="302"/>
      <c r="U37" s="302"/>
      <c r="V37" s="302"/>
      <c r="Y37" s="302"/>
      <c r="Z37" s="302"/>
    </row>
    <row r="38" spans="1:26" ht="15">
      <c r="A38" s="204"/>
      <c r="B38" s="620"/>
      <c r="C38" s="621"/>
      <c r="D38" s="622"/>
      <c r="E38" s="289" t="s">
        <v>205</v>
      </c>
      <c r="F38" s="603" t="s">
        <v>76</v>
      </c>
      <c r="G38" s="604"/>
      <c r="H38" s="595"/>
      <c r="I38" s="596"/>
      <c r="J38" s="596"/>
      <c r="K38" s="596"/>
      <c r="L38" s="596"/>
      <c r="M38" s="596"/>
      <c r="N38" s="596"/>
      <c r="O38" s="596"/>
      <c r="P38" s="596"/>
      <c r="Q38" s="597"/>
      <c r="R38" s="337"/>
      <c r="S38" s="193"/>
      <c r="T38" s="302"/>
      <c r="U38" s="302"/>
      <c r="V38" s="302"/>
      <c r="Y38" s="302"/>
      <c r="Z38" s="302"/>
    </row>
    <row r="39" spans="1:26" ht="30">
      <c r="A39" s="204"/>
      <c r="B39" s="620"/>
      <c r="C39" s="621"/>
      <c r="D39" s="622"/>
      <c r="E39" s="289" t="s">
        <v>192</v>
      </c>
      <c r="F39" s="603" t="str">
        <f>参照ﾃﾞｰﾀ!AL14</f>
        <v>ふるたか</v>
      </c>
      <c r="G39" s="604"/>
      <c r="H39" s="595"/>
      <c r="I39" s="596"/>
      <c r="J39" s="596"/>
      <c r="K39" s="596"/>
      <c r="L39" s="596"/>
      <c r="M39" s="596"/>
      <c r="N39" s="596"/>
      <c r="O39" s="596"/>
      <c r="P39" s="596"/>
      <c r="Q39" s="597"/>
      <c r="R39" s="337"/>
      <c r="S39" s="193"/>
      <c r="T39" s="302"/>
      <c r="U39" s="302"/>
      <c r="V39" s="302"/>
      <c r="Y39" s="302"/>
      <c r="Z39" s="302"/>
    </row>
    <row r="40" spans="1:26" ht="15">
      <c r="A40" s="204"/>
      <c r="B40" s="620"/>
      <c r="C40" s="621"/>
      <c r="D40" s="622"/>
      <c r="E40" s="289"/>
      <c r="F40" s="603"/>
      <c r="G40" s="604"/>
      <c r="H40" s="595"/>
      <c r="I40" s="596"/>
      <c r="J40" s="596"/>
      <c r="K40" s="596"/>
      <c r="L40" s="596"/>
      <c r="M40" s="596"/>
      <c r="N40" s="596"/>
      <c r="O40" s="596"/>
      <c r="P40" s="596"/>
      <c r="Q40" s="597"/>
      <c r="R40" s="337"/>
      <c r="S40" s="193"/>
      <c r="T40" s="302"/>
      <c r="U40" s="302"/>
      <c r="V40" s="302"/>
      <c r="Y40" s="302"/>
      <c r="Z40" s="302"/>
    </row>
    <row r="41" spans="1:26" ht="11.25" customHeight="1" thickBot="1">
      <c r="A41" s="204"/>
      <c r="B41" s="623"/>
      <c r="C41" s="624"/>
      <c r="D41" s="625"/>
      <c r="E41" s="290"/>
      <c r="F41" s="628"/>
      <c r="G41" s="629"/>
      <c r="H41" s="598"/>
      <c r="I41" s="599"/>
      <c r="J41" s="599"/>
      <c r="K41" s="599"/>
      <c r="L41" s="599"/>
      <c r="M41" s="599"/>
      <c r="N41" s="599"/>
      <c r="O41" s="599"/>
      <c r="P41" s="599"/>
      <c r="Q41" s="600"/>
      <c r="R41" s="337"/>
      <c r="S41" s="193"/>
      <c r="T41" s="302"/>
      <c r="U41" s="302"/>
      <c r="V41" s="302"/>
      <c r="W41" s="302"/>
      <c r="X41" s="302"/>
      <c r="Y41" s="302"/>
      <c r="Z41" s="302"/>
    </row>
    <row r="42" spans="1:26">
      <c r="A42" s="204"/>
      <c r="B42" s="204"/>
      <c r="C42" s="204"/>
      <c r="D42" s="204"/>
      <c r="E42" s="204"/>
      <c r="F42" s="204"/>
      <c r="G42" s="204"/>
      <c r="H42" s="204"/>
      <c r="I42" s="204"/>
      <c r="J42" s="204"/>
      <c r="K42" s="204"/>
      <c r="L42" s="204"/>
      <c r="M42" s="204"/>
      <c r="N42" s="204"/>
      <c r="O42" s="204"/>
      <c r="P42" s="204"/>
      <c r="Q42" s="204"/>
      <c r="R42" s="204"/>
      <c r="S42" s="204"/>
    </row>
    <row r="43" spans="1:26">
      <c r="A43" s="204"/>
      <c r="B43" s="204"/>
      <c r="C43" s="204"/>
      <c r="D43" s="204"/>
      <c r="E43" s="204"/>
      <c r="F43" s="204"/>
      <c r="G43" s="204"/>
      <c r="H43" s="204"/>
      <c r="I43" s="204"/>
      <c r="J43" s="204"/>
      <c r="K43" s="204"/>
      <c r="L43" s="204"/>
      <c r="M43" s="204"/>
      <c r="N43" s="204"/>
      <c r="O43" s="204"/>
      <c r="P43" s="204"/>
      <c r="Q43" s="204"/>
      <c r="R43" s="204"/>
      <c r="S43" s="204"/>
    </row>
  </sheetData>
  <sortState ref="C7:K20">
    <sortCondition ref="K7:K20"/>
  </sortState>
  <mergeCells count="18">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D2:F2"/>
    <mergeCell ref="E3:I3"/>
    <mergeCell ref="J3:K3"/>
  </mergeCells>
  <phoneticPr fontId="42"/>
  <dataValidations count="8">
    <dataValidation type="list" allowBlank="1" showInputMessage="1" showErrorMessage="1" sqref="P2 F37:G37">
      <formula1>開催日</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 type="list" errorStyle="warning" allowBlank="1" showInputMessage="1" showErrorMessage="1" sqref="Q2:R2">
      <formula1>時刻</formula1>
    </dataValidation>
  </dataValidations>
  <pageMargins left="0.47244094488188981" right="0.23622047244094491" top="0.25" bottom="0.13" header="0.23" footer="0.13"/>
  <pageSetup paperSize="9" scale="93" fitToWidth="0" orientation="landscape"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H32" sqref="H32:Q41"/>
    </sheetView>
  </sheetViews>
  <sheetFormatPr defaultRowHeight="13.5"/>
  <cols>
    <col min="1" max="1" width="1.75" style="301" customWidth="1"/>
    <col min="2" max="2" width="5" style="301" customWidth="1"/>
    <col min="3" max="3" width="7" style="301" customWidth="1"/>
    <col min="4" max="4" width="18" style="301" customWidth="1"/>
    <col min="5" max="5" width="8" style="301" customWidth="1"/>
    <col min="6" max="6" width="5" style="301" customWidth="1"/>
    <col min="7" max="7" width="10.875" style="301" customWidth="1"/>
    <col min="8" max="8" width="8.375" style="301" customWidth="1"/>
    <col min="9" max="9" width="8.625" style="301" customWidth="1"/>
    <col min="10" max="10" width="5" style="301" customWidth="1"/>
    <col min="11" max="11" width="8.5" style="301" customWidth="1"/>
    <col min="12" max="12" width="12.5" style="301" customWidth="1"/>
    <col min="13" max="13" width="9.5" style="301" customWidth="1"/>
    <col min="14" max="14" width="7.875" style="301" customWidth="1"/>
    <col min="15" max="15" width="8" style="301" customWidth="1"/>
    <col min="16" max="16" width="11.875" style="301" customWidth="1"/>
    <col min="17" max="17" width="12.25" style="301" customWidth="1"/>
    <col min="18" max="18" width="1.875" style="301" customWidth="1"/>
    <col min="19" max="19" width="4.875" style="301" customWidth="1"/>
    <col min="20" max="25" width="8.75" style="301" customWidth="1"/>
    <col min="26" max="26" width="4.5" style="301" customWidth="1"/>
    <col min="27" max="29" width="8" style="301" customWidth="1"/>
    <col min="30" max="16384" width="9" style="301"/>
  </cols>
  <sheetData>
    <row r="1" spans="1:29" ht="9.75" customHeight="1" thickBot="1">
      <c r="A1" s="204"/>
      <c r="B1" s="204"/>
      <c r="C1" s="204"/>
      <c r="D1" s="204"/>
      <c r="E1" s="204"/>
      <c r="F1" s="204"/>
      <c r="G1" s="204"/>
      <c r="H1" s="204"/>
      <c r="I1" s="204"/>
      <c r="J1" s="204"/>
      <c r="K1" s="204"/>
      <c r="L1" s="204"/>
      <c r="M1" s="204"/>
      <c r="N1" s="204"/>
      <c r="O1" s="204"/>
      <c r="P1" s="204"/>
      <c r="Q1" s="204"/>
      <c r="R1" s="204"/>
    </row>
    <row r="2" spans="1:29" ht="21">
      <c r="A2" s="204"/>
      <c r="B2" s="193"/>
      <c r="C2" s="194"/>
      <c r="D2" s="606" t="str">
        <f>参照ﾃﾞｰﾀ!P4</f>
        <v>2018年</v>
      </c>
      <c r="E2" s="606"/>
      <c r="F2" s="606"/>
      <c r="G2" s="195" t="s">
        <v>202</v>
      </c>
      <c r="H2" s="196"/>
      <c r="I2" s="197"/>
      <c r="J2" s="193"/>
      <c r="K2" s="198"/>
      <c r="L2" s="193"/>
      <c r="M2" s="199" t="s">
        <v>53</v>
      </c>
      <c r="N2" s="200" t="s">
        <v>76</v>
      </c>
      <c r="O2" s="201" t="s">
        <v>55</v>
      </c>
      <c r="P2" s="202">
        <v>43394</v>
      </c>
      <c r="Q2" s="203">
        <v>0.4375</v>
      </c>
      <c r="R2" s="193"/>
      <c r="S2" s="302"/>
      <c r="T2" s="303" t="s">
        <v>2</v>
      </c>
      <c r="U2" s="302"/>
      <c r="V2" s="302"/>
      <c r="W2" s="302"/>
      <c r="X2" s="302"/>
      <c r="Y2" s="302"/>
      <c r="Z2" s="302"/>
    </row>
    <row r="3" spans="1:29" ht="21.75" customHeight="1" thickBot="1">
      <c r="A3" s="204"/>
      <c r="B3" s="193"/>
      <c r="C3" s="204"/>
      <c r="D3" s="338" t="s">
        <v>240</v>
      </c>
      <c r="E3" s="607" t="s">
        <v>65</v>
      </c>
      <c r="F3" s="607"/>
      <c r="G3" s="607"/>
      <c r="H3" s="607"/>
      <c r="I3" s="607"/>
      <c r="J3" s="589" t="s">
        <v>88</v>
      </c>
      <c r="K3" s="589"/>
      <c r="L3" s="206"/>
      <c r="M3" s="207" t="s">
        <v>77</v>
      </c>
      <c r="N3" s="208">
        <f>IF(ISBLANK(N2),"",VLOOKUP(N2,コース・距離,2,FALSE))</f>
        <v>11.3</v>
      </c>
      <c r="O3" s="209" t="s">
        <v>0</v>
      </c>
      <c r="P3" s="210">
        <v>16</v>
      </c>
      <c r="Q3" s="211" t="s">
        <v>1</v>
      </c>
      <c r="R3" s="193"/>
      <c r="S3" s="302"/>
      <c r="T3" s="302" t="s">
        <v>265</v>
      </c>
      <c r="U3" s="302"/>
      <c r="V3" s="302"/>
      <c r="W3" s="303" t="s">
        <v>2</v>
      </c>
      <c r="X3" s="304"/>
      <c r="Y3" s="304"/>
      <c r="Z3" s="302"/>
      <c r="AA3" s="305" t="s">
        <v>78</v>
      </c>
    </row>
    <row r="4" spans="1:29" ht="7.5" customHeight="1" thickBot="1">
      <c r="A4" s="204"/>
      <c r="B4" s="193"/>
      <c r="C4" s="193"/>
      <c r="D4" s="193"/>
      <c r="E4" s="193"/>
      <c r="F4" s="193"/>
      <c r="G4" s="193"/>
      <c r="H4" s="193"/>
      <c r="I4" s="193"/>
      <c r="J4" s="193"/>
      <c r="K4" s="193"/>
      <c r="L4" s="193"/>
      <c r="M4" s="193"/>
      <c r="N4" s="193"/>
      <c r="O4" s="193"/>
      <c r="P4" s="193"/>
      <c r="Q4" s="193"/>
      <c r="R4" s="193"/>
      <c r="S4" s="302"/>
      <c r="T4" s="302"/>
      <c r="U4" s="302"/>
      <c r="V4" s="302"/>
      <c r="W4" s="306"/>
      <c r="X4" s="304"/>
      <c r="Y4" s="304"/>
      <c r="Z4" s="302"/>
    </row>
    <row r="5" spans="1:29" ht="14.25">
      <c r="A5" s="204"/>
      <c r="B5" s="212" t="s">
        <v>3</v>
      </c>
      <c r="C5" s="213" t="s">
        <v>4</v>
      </c>
      <c r="D5" s="213" t="s">
        <v>5</v>
      </c>
      <c r="E5" s="213" t="s">
        <v>6</v>
      </c>
      <c r="F5" s="213" t="s">
        <v>7</v>
      </c>
      <c r="G5" s="213" t="s">
        <v>8</v>
      </c>
      <c r="H5" s="213" t="s">
        <v>9</v>
      </c>
      <c r="I5" s="213" t="s">
        <v>10</v>
      </c>
      <c r="J5" s="213" t="s">
        <v>11</v>
      </c>
      <c r="K5" s="213" t="s">
        <v>12</v>
      </c>
      <c r="L5" s="214" t="s">
        <v>338</v>
      </c>
      <c r="M5" s="214" t="s">
        <v>339</v>
      </c>
      <c r="N5" s="213" t="s">
        <v>73</v>
      </c>
      <c r="O5" s="213" t="s">
        <v>13</v>
      </c>
      <c r="P5" s="590" t="s">
        <v>72</v>
      </c>
      <c r="Q5" s="591"/>
      <c r="R5" s="293"/>
      <c r="S5" s="308"/>
      <c r="T5" s="309" t="s">
        <v>10</v>
      </c>
      <c r="U5" s="307" t="s">
        <v>10</v>
      </c>
      <c r="V5" s="310" t="s">
        <v>10</v>
      </c>
      <c r="W5" s="309" t="s">
        <v>10</v>
      </c>
      <c r="X5" s="307" t="s">
        <v>10</v>
      </c>
      <c r="Y5" s="310" t="s">
        <v>10</v>
      </c>
      <c r="Z5" s="308"/>
      <c r="AA5" s="309" t="s">
        <v>13</v>
      </c>
      <c r="AB5" s="307" t="s">
        <v>13</v>
      </c>
      <c r="AC5" s="310" t="s">
        <v>13</v>
      </c>
    </row>
    <row r="6" spans="1:29" ht="14.25">
      <c r="A6" s="204"/>
      <c r="B6" s="215"/>
      <c r="C6" s="216" t="s">
        <v>14</v>
      </c>
      <c r="D6" s="217"/>
      <c r="E6" s="218" t="s">
        <v>15</v>
      </c>
      <c r="F6" s="218"/>
      <c r="G6" s="216" t="s">
        <v>16</v>
      </c>
      <c r="H6" s="218" t="s">
        <v>17</v>
      </c>
      <c r="I6" s="216" t="s">
        <v>261</v>
      </c>
      <c r="J6" s="218" t="s">
        <v>18</v>
      </c>
      <c r="K6" s="218" t="s">
        <v>17</v>
      </c>
      <c r="L6" s="216" t="s">
        <v>16</v>
      </c>
      <c r="M6" s="218" t="s">
        <v>47</v>
      </c>
      <c r="N6" s="218" t="s">
        <v>19</v>
      </c>
      <c r="O6" s="219" t="str">
        <f>"MAX=20"</f>
        <v>MAX=20</v>
      </c>
      <c r="P6" s="220"/>
      <c r="Q6" s="221"/>
      <c r="R6" s="294"/>
      <c r="S6" s="312"/>
      <c r="T6" s="313" t="s">
        <v>20</v>
      </c>
      <c r="U6" s="311" t="s">
        <v>22</v>
      </c>
      <c r="V6" s="314" t="s">
        <v>21</v>
      </c>
      <c r="W6" s="313" t="s">
        <v>20</v>
      </c>
      <c r="X6" s="311" t="s">
        <v>22</v>
      </c>
      <c r="Y6" s="314" t="s">
        <v>21</v>
      </c>
      <c r="Z6" s="312"/>
      <c r="AA6" s="313" t="s">
        <v>80</v>
      </c>
      <c r="AB6" s="311" t="s">
        <v>81</v>
      </c>
      <c r="AC6" s="314" t="s">
        <v>82</v>
      </c>
    </row>
    <row r="7" spans="1:29" ht="14.25">
      <c r="A7" s="204"/>
      <c r="B7" s="222">
        <v>1</v>
      </c>
      <c r="C7" s="223">
        <v>5752</v>
      </c>
      <c r="D7" s="224" t="str">
        <f t="shared" ref="D7:D23" si="0">IF(ISBLANK(C7),"",VLOOKUP(C7,各艇データ,2,FALSE))</f>
        <v>アルファ</v>
      </c>
      <c r="E7" s="225">
        <f t="shared" ref="E7:E23" si="1">IF($I$6="Ⅰ",T7,IF($I$6="Ⅱ",U7,IF($I$6="Ⅲ",V7,"")))</f>
        <v>10.18</v>
      </c>
      <c r="F7" s="226">
        <v>1</v>
      </c>
      <c r="G7" s="227">
        <v>0.51273148148148151</v>
      </c>
      <c r="H7" s="223">
        <f t="shared" ref="H7:H23" si="2">IFERROR(IF(G7-$Q$2&lt;=0,"",(G7-$Q$2)*86400),"")</f>
        <v>6500.0000000000027</v>
      </c>
      <c r="I7" s="228">
        <f t="shared" ref="I7:I23" si="3">IF($I$6="Ⅰ",W7,IF($I$6="Ⅱ",X7,IF($I$6="Ⅲ",Y7,"")))</f>
        <v>557</v>
      </c>
      <c r="J7" s="225"/>
      <c r="K7" s="229">
        <f t="shared" ref="K7:K23" si="4">IFERROR(H7*(1+0.01*J7)-I7*$N$3,"")</f>
        <v>205.90000000000236</v>
      </c>
      <c r="L7" s="227">
        <f>IFERROR((K7-$K$7)/86400,"")</f>
        <v>0</v>
      </c>
      <c r="M7" s="230">
        <f t="shared" ref="M7:M17" si="5">IFERROR((K7-$K$7)/$N$3,"")</f>
        <v>0</v>
      </c>
      <c r="N7" s="231">
        <f t="shared" ref="N7:N17" si="6">IFERROR($N$3/(H7/3600),"")</f>
        <v>6.2584615384615363</v>
      </c>
      <c r="O7" s="232">
        <f>ROUND(IF($O$6="MAX=20",AA7,IF($O$6="MAX=30",AB7,IF($O$6="MAX=40",AC7,""))),1)</f>
        <v>20</v>
      </c>
      <c r="P7" s="233"/>
      <c r="Q7" s="234"/>
      <c r="R7" s="293"/>
      <c r="S7" s="308"/>
      <c r="T7" s="316">
        <f t="shared" ref="T7:T31" si="7">IF(ISBLANK(C7),"",VLOOKUP(C7,各艇データ,3,FALSE))</f>
        <v>10.72</v>
      </c>
      <c r="U7" s="317">
        <f t="shared" ref="U7:U31" si="8">IF(ISBLANK(C7),"",VLOOKUP(C7,各艇データ,4,FALSE))</f>
        <v>10.18</v>
      </c>
      <c r="V7" s="318">
        <f t="shared" ref="V7:V31" si="9">IF(ISBLANK(C7),"",VLOOKUP(C7,各艇データ,5,FALSE))</f>
        <v>9.92</v>
      </c>
      <c r="W7" s="319">
        <f t="shared" ref="W7:W31" si="10">IF(ISBLANK(C7),"",VLOOKUP(C7,各艇データ,6,FALSE))</f>
        <v>884.3</v>
      </c>
      <c r="X7" s="320">
        <f t="shared" ref="X7:X31" si="11">IF(ISBLANK(C7),"",VLOOKUP(C7,各艇データ,7,FALSE))</f>
        <v>557</v>
      </c>
      <c r="Y7" s="321">
        <f t="shared" ref="Y7:Y31" si="12">IF(ISBLANK(C7),"",VLOOKUP(C7,各艇データ,8,FALSE))</f>
        <v>492.1</v>
      </c>
      <c r="Z7" s="308"/>
      <c r="AA7" s="322">
        <f>IF(ISBLANK(B7),"",IFERROR(20*($P$3+1-$B7)/$P$3,"20.0"))</f>
        <v>20</v>
      </c>
      <c r="AB7" s="315">
        <f>IF(ISBLANK(B7),"",IFERROR(30*($P$3+1-$B7)/$P$3,"30.0"))</f>
        <v>30</v>
      </c>
      <c r="AC7" s="323">
        <f>IF(ISBLANK(B7),"",IFERROR(30*($P$3-$B7)/($P$3-1)+10,"20.0"))</f>
        <v>40</v>
      </c>
    </row>
    <row r="8" spans="1:29" ht="14.25">
      <c r="A8" s="204"/>
      <c r="B8" s="235">
        <v>2</v>
      </c>
      <c r="C8" s="236">
        <v>150</v>
      </c>
      <c r="D8" s="237" t="str">
        <f t="shared" si="0"/>
        <v>SHARK X</v>
      </c>
      <c r="E8" s="238">
        <f t="shared" si="1"/>
        <v>8.56</v>
      </c>
      <c r="F8" s="239">
        <v>2</v>
      </c>
      <c r="G8" s="240">
        <v>0.52001157407407406</v>
      </c>
      <c r="H8" s="236">
        <f t="shared" si="2"/>
        <v>7128.9999999999982</v>
      </c>
      <c r="I8" s="241">
        <f t="shared" si="3"/>
        <v>591.79999999999995</v>
      </c>
      <c r="J8" s="238"/>
      <c r="K8" s="242">
        <f t="shared" si="4"/>
        <v>441.65999999999804</v>
      </c>
      <c r="L8" s="240">
        <f>IFERROR((K8-$K$7)/86400,"")</f>
        <v>2.7287037037036538E-3</v>
      </c>
      <c r="M8" s="243">
        <f t="shared" si="5"/>
        <v>20.863716814158909</v>
      </c>
      <c r="N8" s="244">
        <f t="shared" si="6"/>
        <v>5.7062701641183908</v>
      </c>
      <c r="O8" s="245">
        <f t="shared" ref="O8:O16" si="13">ROUND(IF($O$6="MAX=20",AA8,IF($O$6="MAX=30",AB8,IF($O$6="MAX=40",AC8,""))),1)</f>
        <v>18.8</v>
      </c>
      <c r="P8" s="246"/>
      <c r="Q8" s="247"/>
      <c r="R8" s="293"/>
      <c r="S8" s="308"/>
      <c r="T8" s="316">
        <f t="shared" si="7"/>
        <v>9.06</v>
      </c>
      <c r="U8" s="317">
        <f t="shared" si="8"/>
        <v>8.56</v>
      </c>
      <c r="V8" s="318">
        <f t="shared" si="9"/>
        <v>8.43</v>
      </c>
      <c r="W8" s="319">
        <f t="shared" si="10"/>
        <v>936.4</v>
      </c>
      <c r="X8" s="320">
        <f t="shared" si="11"/>
        <v>591.79999999999995</v>
      </c>
      <c r="Y8" s="321">
        <f t="shared" si="12"/>
        <v>526.20000000000005</v>
      </c>
      <c r="Z8" s="308"/>
      <c r="AA8" s="322">
        <f t="shared" ref="AA8:AA31" si="14">IF(ISBLANK(B8),"",IFERROR(20*($P$3+1-$B8)/$P$3,"20.0"))</f>
        <v>18.75</v>
      </c>
      <c r="AB8" s="315">
        <f t="shared" ref="AB8:AB31" si="15">IF(ISBLANK(B8),"",IFERROR(30*($P$3+1-$B8)/$P$3,"30.0"))</f>
        <v>28.125</v>
      </c>
      <c r="AC8" s="323">
        <f t="shared" ref="AC8:AC31" si="16">IF(ISBLANK(B8),"",IFERROR(30*($P$3-$B8)/($P$3-1)+10,"20.0"))</f>
        <v>38</v>
      </c>
    </row>
    <row r="9" spans="1:29" ht="14.25">
      <c r="A9" s="204"/>
      <c r="B9" s="235">
        <v>3</v>
      </c>
      <c r="C9" s="236">
        <v>1611</v>
      </c>
      <c r="D9" s="237" t="str">
        <f t="shared" si="0"/>
        <v>ﾈﾌﾟﾁｭｰﾝXⅡ</v>
      </c>
      <c r="E9" s="238">
        <f t="shared" si="1"/>
        <v>8.15</v>
      </c>
      <c r="F9" s="239">
        <v>4</v>
      </c>
      <c r="G9" s="240">
        <v>0.52194444444444443</v>
      </c>
      <c r="H9" s="236">
        <f t="shared" si="2"/>
        <v>7295.9999999999991</v>
      </c>
      <c r="I9" s="241">
        <f t="shared" si="3"/>
        <v>602.20000000000005</v>
      </c>
      <c r="J9" s="238"/>
      <c r="K9" s="242">
        <f t="shared" si="4"/>
        <v>491.13999999999851</v>
      </c>
      <c r="L9" s="240">
        <f t="shared" ref="L9:L17" si="17">IFERROR((K9-$K$7)/86400,"")</f>
        <v>3.3013888888888442E-3</v>
      </c>
      <c r="M9" s="243">
        <f t="shared" si="5"/>
        <v>25.242477876105852</v>
      </c>
      <c r="N9" s="244">
        <f t="shared" si="6"/>
        <v>5.5756578947368434</v>
      </c>
      <c r="O9" s="245">
        <f t="shared" si="13"/>
        <v>17.5</v>
      </c>
      <c r="P9" s="246"/>
      <c r="Q9" s="247"/>
      <c r="R9" s="293"/>
      <c r="S9" s="308"/>
      <c r="T9" s="316">
        <f t="shared" si="7"/>
        <v>8.2100000000000009</v>
      </c>
      <c r="U9" s="317">
        <f t="shared" si="8"/>
        <v>8.15</v>
      </c>
      <c r="V9" s="318">
        <f t="shared" si="9"/>
        <v>7.98</v>
      </c>
      <c r="W9" s="319">
        <f t="shared" si="10"/>
        <v>968.4</v>
      </c>
      <c r="X9" s="320">
        <f t="shared" si="11"/>
        <v>602.20000000000005</v>
      </c>
      <c r="Y9" s="321">
        <f t="shared" si="12"/>
        <v>538.1</v>
      </c>
      <c r="Z9" s="308"/>
      <c r="AA9" s="322">
        <f t="shared" si="14"/>
        <v>17.5</v>
      </c>
      <c r="AB9" s="315">
        <f t="shared" si="15"/>
        <v>26.25</v>
      </c>
      <c r="AC9" s="323">
        <f t="shared" si="16"/>
        <v>36</v>
      </c>
    </row>
    <row r="10" spans="1:29" ht="14.25">
      <c r="A10" s="204"/>
      <c r="B10" s="235">
        <v>4</v>
      </c>
      <c r="C10" s="236">
        <v>312</v>
      </c>
      <c r="D10" s="237" t="str">
        <f t="shared" si="0"/>
        <v>はやとり</v>
      </c>
      <c r="E10" s="238">
        <f t="shared" si="1"/>
        <v>8.2200000000000006</v>
      </c>
      <c r="F10" s="239">
        <v>6</v>
      </c>
      <c r="G10" s="240">
        <v>0.52223379629629629</v>
      </c>
      <c r="H10" s="236">
        <f t="shared" si="2"/>
        <v>7321</v>
      </c>
      <c r="I10" s="241">
        <f t="shared" si="3"/>
        <v>600.29999999999995</v>
      </c>
      <c r="J10" s="238"/>
      <c r="K10" s="242">
        <f t="shared" si="4"/>
        <v>537.60999999999967</v>
      </c>
      <c r="L10" s="240">
        <f t="shared" si="17"/>
        <v>3.8392361111110797E-3</v>
      </c>
      <c r="M10" s="243">
        <f t="shared" si="5"/>
        <v>29.354867256636929</v>
      </c>
      <c r="N10" s="244">
        <f t="shared" si="6"/>
        <v>5.5566179483677098</v>
      </c>
      <c r="O10" s="245">
        <f t="shared" si="13"/>
        <v>16.3</v>
      </c>
      <c r="P10" s="331"/>
      <c r="Q10" s="247"/>
      <c r="R10" s="293"/>
      <c r="S10" s="308"/>
      <c r="T10" s="316">
        <f t="shared" si="7"/>
        <v>8.31</v>
      </c>
      <c r="U10" s="317">
        <f t="shared" si="8"/>
        <v>8.2200000000000006</v>
      </c>
      <c r="V10" s="318">
        <f t="shared" si="9"/>
        <v>8.1300000000000008</v>
      </c>
      <c r="W10" s="319">
        <f t="shared" si="10"/>
        <v>964.4</v>
      </c>
      <c r="X10" s="320">
        <f t="shared" si="11"/>
        <v>600.29999999999995</v>
      </c>
      <c r="Y10" s="321">
        <f t="shared" si="12"/>
        <v>534</v>
      </c>
      <c r="Z10" s="308"/>
      <c r="AA10" s="322">
        <f t="shared" si="14"/>
        <v>16.25</v>
      </c>
      <c r="AB10" s="315">
        <f t="shared" si="15"/>
        <v>24.375</v>
      </c>
      <c r="AC10" s="323">
        <f t="shared" si="16"/>
        <v>34</v>
      </c>
    </row>
    <row r="11" spans="1:29" ht="14.25">
      <c r="A11" s="204"/>
      <c r="B11" s="248">
        <v>5</v>
      </c>
      <c r="C11" s="249">
        <v>2212</v>
      </c>
      <c r="D11" s="250" t="str">
        <f t="shared" si="0"/>
        <v>衣笠</v>
      </c>
      <c r="E11" s="251">
        <f t="shared" si="1"/>
        <v>8.9</v>
      </c>
      <c r="F11" s="252">
        <v>7</v>
      </c>
      <c r="G11" s="253">
        <v>0.52226851851851852</v>
      </c>
      <c r="H11" s="254">
        <f t="shared" si="2"/>
        <v>7324</v>
      </c>
      <c r="I11" s="255">
        <f t="shared" si="3"/>
        <v>584</v>
      </c>
      <c r="J11" s="256"/>
      <c r="K11" s="257">
        <f t="shared" si="4"/>
        <v>724.79999999999927</v>
      </c>
      <c r="L11" s="258">
        <f t="shared" si="17"/>
        <v>6.0057870370370013E-3</v>
      </c>
      <c r="M11" s="259">
        <f t="shared" si="5"/>
        <v>45.920353982300611</v>
      </c>
      <c r="N11" s="260">
        <f t="shared" si="6"/>
        <v>5.5543418896777723</v>
      </c>
      <c r="O11" s="261">
        <f t="shared" si="13"/>
        <v>15</v>
      </c>
      <c r="P11" s="262"/>
      <c r="Q11" s="263"/>
      <c r="R11" s="293"/>
      <c r="S11" s="308"/>
      <c r="T11" s="316">
        <f t="shared" si="7"/>
        <v>8.8000000000000007</v>
      </c>
      <c r="U11" s="317">
        <f t="shared" si="8"/>
        <v>8.9</v>
      </c>
      <c r="V11" s="318">
        <f t="shared" si="9"/>
        <v>9.0399999999999991</v>
      </c>
      <c r="W11" s="319">
        <f t="shared" si="10"/>
        <v>945.7</v>
      </c>
      <c r="X11" s="320">
        <f t="shared" si="11"/>
        <v>584</v>
      </c>
      <c r="Y11" s="321">
        <f t="shared" si="12"/>
        <v>511.4</v>
      </c>
      <c r="Z11" s="308"/>
      <c r="AA11" s="322">
        <f t="shared" si="14"/>
        <v>15</v>
      </c>
      <c r="AB11" s="315">
        <f t="shared" si="15"/>
        <v>22.5</v>
      </c>
      <c r="AC11" s="323">
        <f t="shared" si="16"/>
        <v>32</v>
      </c>
    </row>
    <row r="12" spans="1:29" ht="14.25">
      <c r="A12" s="204"/>
      <c r="B12" s="222">
        <v>6</v>
      </c>
      <c r="C12" s="223">
        <v>3387</v>
      </c>
      <c r="D12" s="224" t="str">
        <f t="shared" si="0"/>
        <v>BASIC</v>
      </c>
      <c r="E12" s="225">
        <f t="shared" si="1"/>
        <v>8.51</v>
      </c>
      <c r="F12" s="226">
        <v>9</v>
      </c>
      <c r="G12" s="227">
        <v>0.52361111111111114</v>
      </c>
      <c r="H12" s="223">
        <f t="shared" si="2"/>
        <v>7440.0000000000027</v>
      </c>
      <c r="I12" s="228">
        <f t="shared" si="3"/>
        <v>593.29999999999995</v>
      </c>
      <c r="J12" s="225"/>
      <c r="K12" s="229">
        <f t="shared" si="4"/>
        <v>735.71000000000276</v>
      </c>
      <c r="L12" s="227">
        <f t="shared" si="17"/>
        <v>6.13206018518519E-3</v>
      </c>
      <c r="M12" s="230">
        <f t="shared" si="5"/>
        <v>46.885840707964633</v>
      </c>
      <c r="N12" s="231">
        <f t="shared" si="6"/>
        <v>5.4677419354838692</v>
      </c>
      <c r="O12" s="232">
        <f t="shared" si="13"/>
        <v>13.8</v>
      </c>
      <c r="P12" s="204"/>
      <c r="Q12" s="234"/>
      <c r="R12" s="293"/>
      <c r="S12" s="308"/>
      <c r="T12" s="316">
        <f t="shared" si="7"/>
        <v>9.0299999999999994</v>
      </c>
      <c r="U12" s="317">
        <f t="shared" si="8"/>
        <v>8.51</v>
      </c>
      <c r="V12" s="318">
        <f t="shared" si="9"/>
        <v>8.2899999999999991</v>
      </c>
      <c r="W12" s="319">
        <f t="shared" si="10"/>
        <v>937.5</v>
      </c>
      <c r="X12" s="320">
        <f t="shared" si="11"/>
        <v>593.29999999999995</v>
      </c>
      <c r="Y12" s="321">
        <f t="shared" si="12"/>
        <v>529.79999999999995</v>
      </c>
      <c r="Z12" s="308"/>
      <c r="AA12" s="322">
        <f t="shared" si="14"/>
        <v>13.75</v>
      </c>
      <c r="AB12" s="315">
        <f t="shared" si="15"/>
        <v>20.625</v>
      </c>
      <c r="AC12" s="323">
        <f t="shared" si="16"/>
        <v>30</v>
      </c>
    </row>
    <row r="13" spans="1:29" ht="14.25">
      <c r="A13" s="204"/>
      <c r="B13" s="235">
        <v>7</v>
      </c>
      <c r="C13" s="236">
        <v>6735</v>
      </c>
      <c r="D13" s="237" t="str">
        <f t="shared" si="0"/>
        <v>VEGA</v>
      </c>
      <c r="E13" s="238">
        <f t="shared" si="1"/>
        <v>8.94</v>
      </c>
      <c r="F13" s="239">
        <v>8</v>
      </c>
      <c r="G13" s="240">
        <v>0.52317129629629633</v>
      </c>
      <c r="H13" s="236">
        <f t="shared" si="2"/>
        <v>7402.0000000000027</v>
      </c>
      <c r="I13" s="241">
        <f t="shared" si="3"/>
        <v>583</v>
      </c>
      <c r="J13" s="238"/>
      <c r="K13" s="242">
        <f t="shared" si="4"/>
        <v>814.10000000000218</v>
      </c>
      <c r="L13" s="240">
        <f t="shared" si="17"/>
        <v>7.0393518518518496E-3</v>
      </c>
      <c r="M13" s="243">
        <f t="shared" si="5"/>
        <v>53.823008849557503</v>
      </c>
      <c r="N13" s="244">
        <f t="shared" si="6"/>
        <v>5.4958119427181824</v>
      </c>
      <c r="O13" s="245">
        <f t="shared" si="13"/>
        <v>12.5</v>
      </c>
      <c r="P13" s="246"/>
      <c r="Q13" s="247"/>
      <c r="R13" s="293"/>
      <c r="S13" s="308"/>
      <c r="T13" s="316">
        <f t="shared" si="7"/>
        <v>9.77</v>
      </c>
      <c r="U13" s="317">
        <f t="shared" si="8"/>
        <v>8.94</v>
      </c>
      <c r="V13" s="318">
        <f t="shared" si="9"/>
        <v>8.48</v>
      </c>
      <c r="W13" s="319">
        <f t="shared" si="10"/>
        <v>912.7</v>
      </c>
      <c r="X13" s="320">
        <f t="shared" si="11"/>
        <v>583</v>
      </c>
      <c r="Y13" s="321">
        <f t="shared" si="12"/>
        <v>524.79999999999995</v>
      </c>
      <c r="Z13" s="308"/>
      <c r="AA13" s="322">
        <f t="shared" si="14"/>
        <v>12.5</v>
      </c>
      <c r="AB13" s="315">
        <f t="shared" si="15"/>
        <v>18.75</v>
      </c>
      <c r="AC13" s="323">
        <f t="shared" si="16"/>
        <v>28</v>
      </c>
    </row>
    <row r="14" spans="1:29" ht="14.25">
      <c r="A14" s="204"/>
      <c r="B14" s="235">
        <v>8</v>
      </c>
      <c r="C14" s="236">
        <v>321</v>
      </c>
      <c r="D14" s="237" t="str">
        <f t="shared" si="0"/>
        <v>かまくら</v>
      </c>
      <c r="E14" s="238">
        <f t="shared" si="1"/>
        <v>9.51</v>
      </c>
      <c r="F14" s="239">
        <v>5</v>
      </c>
      <c r="G14" s="240">
        <v>0.52202546296296293</v>
      </c>
      <c r="H14" s="236">
        <f t="shared" si="2"/>
        <v>7302.9999999999973</v>
      </c>
      <c r="I14" s="241">
        <f t="shared" si="3"/>
        <v>570.5</v>
      </c>
      <c r="J14" s="238"/>
      <c r="K14" s="242">
        <f t="shared" si="4"/>
        <v>856.34999999999673</v>
      </c>
      <c r="L14" s="240">
        <f t="shared" si="17"/>
        <v>7.5283564814814163E-3</v>
      </c>
      <c r="M14" s="243">
        <f t="shared" si="5"/>
        <v>57.561946902654363</v>
      </c>
      <c r="N14" s="244">
        <f t="shared" si="6"/>
        <v>5.5703135697658528</v>
      </c>
      <c r="O14" s="245">
        <f t="shared" si="13"/>
        <v>11.3</v>
      </c>
      <c r="P14" s="246"/>
      <c r="Q14" s="247"/>
      <c r="R14" s="293"/>
      <c r="S14" s="308"/>
      <c r="T14" s="316">
        <f t="shared" si="7"/>
        <v>10.15</v>
      </c>
      <c r="U14" s="317">
        <f t="shared" si="8"/>
        <v>9.51</v>
      </c>
      <c r="V14" s="318">
        <f t="shared" si="9"/>
        <v>9.44</v>
      </c>
      <c r="W14" s="319">
        <f t="shared" si="10"/>
        <v>900.8</v>
      </c>
      <c r="X14" s="320">
        <f t="shared" si="11"/>
        <v>570.5</v>
      </c>
      <c r="Y14" s="321">
        <f t="shared" si="12"/>
        <v>502.2</v>
      </c>
      <c r="Z14" s="308"/>
      <c r="AA14" s="322">
        <f t="shared" si="14"/>
        <v>11.25</v>
      </c>
      <c r="AB14" s="315">
        <f t="shared" si="15"/>
        <v>16.875</v>
      </c>
      <c r="AC14" s="323">
        <f t="shared" si="16"/>
        <v>26</v>
      </c>
    </row>
    <row r="15" spans="1:29" ht="14.25">
      <c r="A15" s="204"/>
      <c r="B15" s="235">
        <v>9</v>
      </c>
      <c r="C15" s="236">
        <v>6766</v>
      </c>
      <c r="D15" s="237" t="str">
        <f t="shared" si="0"/>
        <v>くろしお</v>
      </c>
      <c r="E15" s="238">
        <f t="shared" si="1"/>
        <v>8.57</v>
      </c>
      <c r="F15" s="239">
        <v>11</v>
      </c>
      <c r="G15" s="240">
        <v>0.52638888888888891</v>
      </c>
      <c r="H15" s="236">
        <f t="shared" si="2"/>
        <v>7680.0000000000018</v>
      </c>
      <c r="I15" s="241">
        <f t="shared" si="3"/>
        <v>591.79999999999995</v>
      </c>
      <c r="J15" s="238"/>
      <c r="K15" s="242">
        <f t="shared" si="4"/>
        <v>992.66000000000167</v>
      </c>
      <c r="L15" s="240">
        <f t="shared" si="17"/>
        <v>9.1060185185185098E-3</v>
      </c>
      <c r="M15" s="243">
        <f t="shared" si="5"/>
        <v>69.624778761061876</v>
      </c>
      <c r="N15" s="244">
        <f t="shared" si="6"/>
        <v>5.2968749999999991</v>
      </c>
      <c r="O15" s="245">
        <f t="shared" si="13"/>
        <v>10</v>
      </c>
      <c r="P15" s="246"/>
      <c r="Q15" s="247"/>
      <c r="R15" s="293"/>
      <c r="S15" s="308"/>
      <c r="T15" s="316">
        <f t="shared" si="7"/>
        <v>9.0500000000000007</v>
      </c>
      <c r="U15" s="317">
        <f t="shared" si="8"/>
        <v>8.57</v>
      </c>
      <c r="V15" s="318">
        <f t="shared" si="9"/>
        <v>8.58</v>
      </c>
      <c r="W15" s="319">
        <f t="shared" si="10"/>
        <v>936.7</v>
      </c>
      <c r="X15" s="320">
        <f t="shared" si="11"/>
        <v>591.79999999999995</v>
      </c>
      <c r="Y15" s="321">
        <f t="shared" si="12"/>
        <v>522.5</v>
      </c>
      <c r="Z15" s="308"/>
      <c r="AA15" s="322">
        <f t="shared" si="14"/>
        <v>10</v>
      </c>
      <c r="AB15" s="315">
        <f t="shared" si="15"/>
        <v>15</v>
      </c>
      <c r="AC15" s="323">
        <f t="shared" si="16"/>
        <v>24</v>
      </c>
    </row>
    <row r="16" spans="1:29" ht="14.25">
      <c r="A16" s="204"/>
      <c r="B16" s="248">
        <v>10</v>
      </c>
      <c r="C16" s="249">
        <v>1733</v>
      </c>
      <c r="D16" s="250" t="str">
        <f t="shared" si="0"/>
        <v>ケロニア</v>
      </c>
      <c r="E16" s="251">
        <f t="shared" si="1"/>
        <v>9.44</v>
      </c>
      <c r="F16" s="252">
        <v>10</v>
      </c>
      <c r="G16" s="253">
        <v>0.52386574074074077</v>
      </c>
      <c r="H16" s="249">
        <f t="shared" si="2"/>
        <v>7462.0000000000027</v>
      </c>
      <c r="I16" s="265">
        <f t="shared" si="3"/>
        <v>572.1</v>
      </c>
      <c r="J16" s="251"/>
      <c r="K16" s="267">
        <f t="shared" si="4"/>
        <v>997.27000000000226</v>
      </c>
      <c r="L16" s="253">
        <f t="shared" si="17"/>
        <v>9.1593749999999991E-3</v>
      </c>
      <c r="M16" s="268">
        <f t="shared" si="5"/>
        <v>70.032743362831837</v>
      </c>
      <c r="N16" s="269">
        <f t="shared" si="6"/>
        <v>5.4516215491825228</v>
      </c>
      <c r="O16" s="270">
        <f t="shared" si="13"/>
        <v>8.8000000000000007</v>
      </c>
      <c r="P16" s="262"/>
      <c r="Q16" s="263"/>
      <c r="R16" s="293"/>
      <c r="S16" s="308"/>
      <c r="T16" s="316">
        <f t="shared" si="7"/>
        <v>9.67</v>
      </c>
      <c r="U16" s="317">
        <f t="shared" si="8"/>
        <v>9.44</v>
      </c>
      <c r="V16" s="318">
        <f t="shared" si="9"/>
        <v>9.35</v>
      </c>
      <c r="W16" s="319">
        <f t="shared" si="10"/>
        <v>915.7</v>
      </c>
      <c r="X16" s="320">
        <f t="shared" si="11"/>
        <v>572.1</v>
      </c>
      <c r="Y16" s="321">
        <f t="shared" si="12"/>
        <v>504.3</v>
      </c>
      <c r="Z16" s="308"/>
      <c r="AA16" s="322">
        <f t="shared" si="14"/>
        <v>8.75</v>
      </c>
      <c r="AB16" s="315">
        <f t="shared" si="15"/>
        <v>13.125</v>
      </c>
      <c r="AC16" s="323">
        <f t="shared" si="16"/>
        <v>22</v>
      </c>
    </row>
    <row r="17" spans="1:29" ht="14.25">
      <c r="A17" s="204"/>
      <c r="B17" s="222">
        <v>11</v>
      </c>
      <c r="C17" s="223">
        <v>380</v>
      </c>
      <c r="D17" s="224" t="str">
        <f t="shared" si="0"/>
        <v>テティス</v>
      </c>
      <c r="E17" s="225">
        <f t="shared" si="1"/>
        <v>10.23</v>
      </c>
      <c r="F17" s="226">
        <v>3</v>
      </c>
      <c r="G17" s="227">
        <v>0.5218518518518519</v>
      </c>
      <c r="H17" s="271">
        <f t="shared" si="2"/>
        <v>7288.0000000000045</v>
      </c>
      <c r="I17" s="272">
        <f t="shared" si="3"/>
        <v>556.20000000000005</v>
      </c>
      <c r="J17" s="273"/>
      <c r="K17" s="274">
        <f t="shared" si="4"/>
        <v>1002.9400000000032</v>
      </c>
      <c r="L17" s="275">
        <f t="shared" si="17"/>
        <v>9.225000000000011E-3</v>
      </c>
      <c r="M17" s="276">
        <f t="shared" si="5"/>
        <v>70.534513274336362</v>
      </c>
      <c r="N17" s="277">
        <f t="shared" si="6"/>
        <v>5.5817782656421491</v>
      </c>
      <c r="O17" s="278">
        <f>ROUND(IF($O$6="MAX=20",AA17,IF($O$6="MAX=30",AB17,IF($O$6="MAX=40",AC17,""))),1)</f>
        <v>7.5</v>
      </c>
      <c r="P17" s="343"/>
      <c r="Q17" s="234"/>
      <c r="R17" s="293"/>
      <c r="S17" s="308"/>
      <c r="T17" s="316">
        <f t="shared" si="7"/>
        <v>10.44</v>
      </c>
      <c r="U17" s="317">
        <f t="shared" si="8"/>
        <v>10.23</v>
      </c>
      <c r="V17" s="318">
        <f t="shared" si="9"/>
        <v>9.94</v>
      </c>
      <c r="W17" s="319">
        <f t="shared" si="10"/>
        <v>892.3</v>
      </c>
      <c r="X17" s="320">
        <f t="shared" si="11"/>
        <v>556.20000000000005</v>
      </c>
      <c r="Y17" s="321">
        <f t="shared" si="12"/>
        <v>491.8</v>
      </c>
      <c r="Z17" s="308"/>
      <c r="AA17" s="322">
        <f t="shared" si="14"/>
        <v>7.5</v>
      </c>
      <c r="AB17" s="315">
        <f t="shared" si="15"/>
        <v>11.25</v>
      </c>
      <c r="AC17" s="323">
        <f t="shared" si="16"/>
        <v>20</v>
      </c>
    </row>
    <row r="18" spans="1:29" ht="14.25">
      <c r="A18" s="204"/>
      <c r="B18" s="235">
        <v>12</v>
      </c>
      <c r="C18" s="236">
        <v>199</v>
      </c>
      <c r="D18" s="237" t="str">
        <f t="shared" si="0"/>
        <v>サ－モン4</v>
      </c>
      <c r="E18" s="238">
        <f t="shared" si="1"/>
        <v>9.15</v>
      </c>
      <c r="F18" s="239">
        <v>12</v>
      </c>
      <c r="G18" s="240">
        <v>0.52725694444444449</v>
      </c>
      <c r="H18" s="236">
        <f t="shared" si="2"/>
        <v>7755.0000000000036</v>
      </c>
      <c r="I18" s="241">
        <f t="shared" si="3"/>
        <v>578.20000000000005</v>
      </c>
      <c r="J18" s="238"/>
      <c r="K18" s="242">
        <f t="shared" si="4"/>
        <v>1221.3400000000029</v>
      </c>
      <c r="L18" s="240">
        <f t="shared" ref="L18:L22" si="18">IFERROR((K18-$K$7)/86400,"")</f>
        <v>1.1752777777777784E-2</v>
      </c>
      <c r="M18" s="243">
        <f t="shared" ref="M18:M22" si="19">IFERROR((K18-$K$7)/$N$3,"")</f>
        <v>89.861946902654907</v>
      </c>
      <c r="N18" s="244">
        <f t="shared" ref="N18:N22" si="20">IFERROR($N$3/(H18/3600),"")</f>
        <v>5.2456479690522224</v>
      </c>
      <c r="O18" s="245">
        <f t="shared" ref="O18:O22" si="21">ROUND(IF($O$6="MAX=20",AA18,IF($O$6="MAX=30",AB18,IF($O$6="MAX=40",AC18,""))),1)</f>
        <v>6.3</v>
      </c>
      <c r="P18" s="281"/>
      <c r="Q18" s="247"/>
      <c r="R18" s="293"/>
      <c r="S18" s="308"/>
      <c r="T18" s="316">
        <f t="shared" si="7"/>
        <v>9.24</v>
      </c>
      <c r="U18" s="317">
        <f t="shared" si="8"/>
        <v>9.15</v>
      </c>
      <c r="V18" s="318">
        <f t="shared" si="9"/>
        <v>9.1</v>
      </c>
      <c r="W18" s="319">
        <f t="shared" si="10"/>
        <v>930.3</v>
      </c>
      <c r="X18" s="320">
        <f t="shared" si="11"/>
        <v>578.20000000000005</v>
      </c>
      <c r="Y18" s="321">
        <f t="shared" si="12"/>
        <v>509.9</v>
      </c>
      <c r="Z18" s="308"/>
      <c r="AA18" s="322">
        <f t="shared" si="14"/>
        <v>6.25</v>
      </c>
      <c r="AB18" s="315">
        <f t="shared" si="15"/>
        <v>9.375</v>
      </c>
      <c r="AC18" s="323">
        <f t="shared" si="16"/>
        <v>18</v>
      </c>
    </row>
    <row r="19" spans="1:29" ht="14.25">
      <c r="A19" s="204"/>
      <c r="B19" s="235">
        <v>13</v>
      </c>
      <c r="C19" s="236">
        <v>346</v>
      </c>
      <c r="D19" s="237" t="str">
        <f t="shared" si="0"/>
        <v>飛車角</v>
      </c>
      <c r="E19" s="238">
        <f t="shared" si="1"/>
        <v>8.58</v>
      </c>
      <c r="F19" s="239">
        <v>13</v>
      </c>
      <c r="G19" s="240">
        <v>0.53043981481481484</v>
      </c>
      <c r="H19" s="236">
        <f t="shared" si="2"/>
        <v>8030.0000000000018</v>
      </c>
      <c r="I19" s="241">
        <f t="shared" si="3"/>
        <v>591.5</v>
      </c>
      <c r="J19" s="238"/>
      <c r="K19" s="242">
        <f t="shared" si="4"/>
        <v>1346.0500000000011</v>
      </c>
      <c r="L19" s="240">
        <f t="shared" si="18"/>
        <v>1.3196180555555541E-2</v>
      </c>
      <c r="M19" s="243">
        <f t="shared" si="19"/>
        <v>100.89823008849545</v>
      </c>
      <c r="N19" s="244">
        <f t="shared" si="20"/>
        <v>5.0660024906600238</v>
      </c>
      <c r="O19" s="245">
        <f t="shared" si="21"/>
        <v>5</v>
      </c>
      <c r="P19" s="246"/>
      <c r="Q19" s="247"/>
      <c r="R19" s="293"/>
      <c r="S19" s="308"/>
      <c r="T19" s="316">
        <f t="shared" si="7"/>
        <v>8.61</v>
      </c>
      <c r="U19" s="317">
        <f t="shared" si="8"/>
        <v>8.58</v>
      </c>
      <c r="V19" s="318">
        <f t="shared" si="9"/>
        <v>8.68</v>
      </c>
      <c r="W19" s="319">
        <f t="shared" si="10"/>
        <v>952.6</v>
      </c>
      <c r="X19" s="320">
        <f t="shared" si="11"/>
        <v>591.5</v>
      </c>
      <c r="Y19" s="321">
        <f t="shared" si="12"/>
        <v>519.79999999999995</v>
      </c>
      <c r="Z19" s="308"/>
      <c r="AA19" s="322">
        <f t="shared" si="14"/>
        <v>5</v>
      </c>
      <c r="AB19" s="315">
        <f t="shared" si="15"/>
        <v>7.5</v>
      </c>
      <c r="AC19" s="323">
        <f t="shared" si="16"/>
        <v>16</v>
      </c>
    </row>
    <row r="20" spans="1:29" ht="14.25">
      <c r="A20" s="204"/>
      <c r="B20" s="235">
        <v>14</v>
      </c>
      <c r="C20" s="236">
        <v>5755</v>
      </c>
      <c r="D20" s="237" t="str">
        <f t="shared" si="0"/>
        <v>ランカ</v>
      </c>
      <c r="E20" s="238">
        <f t="shared" si="1"/>
        <v>8.1</v>
      </c>
      <c r="F20" s="239">
        <v>14</v>
      </c>
      <c r="G20" s="240">
        <v>0.53303240740740743</v>
      </c>
      <c r="H20" s="236">
        <f t="shared" si="2"/>
        <v>8254.0000000000018</v>
      </c>
      <c r="I20" s="241">
        <f t="shared" si="3"/>
        <v>603.6</v>
      </c>
      <c r="J20" s="238"/>
      <c r="K20" s="242">
        <f t="shared" si="4"/>
        <v>1433.3200000000015</v>
      </c>
      <c r="L20" s="240">
        <f t="shared" si="18"/>
        <v>1.420624999999999E-2</v>
      </c>
      <c r="M20" s="243">
        <f t="shared" si="19"/>
        <v>108.62123893805301</v>
      </c>
      <c r="N20" s="244">
        <f t="shared" si="20"/>
        <v>4.9285195056942079</v>
      </c>
      <c r="O20" s="245">
        <f t="shared" si="21"/>
        <v>3.8</v>
      </c>
      <c r="P20" s="281"/>
      <c r="Q20" s="247"/>
      <c r="R20" s="293"/>
      <c r="S20" s="308"/>
      <c r="T20" s="316">
        <f t="shared" si="7"/>
        <v>8.25</v>
      </c>
      <c r="U20" s="317">
        <f t="shared" si="8"/>
        <v>8.1</v>
      </c>
      <c r="V20" s="318">
        <f t="shared" si="9"/>
        <v>8.11</v>
      </c>
      <c r="W20" s="319">
        <f t="shared" si="10"/>
        <v>966.8</v>
      </c>
      <c r="X20" s="320">
        <f t="shared" si="11"/>
        <v>603.6</v>
      </c>
      <c r="Y20" s="321">
        <f t="shared" si="12"/>
        <v>534.5</v>
      </c>
      <c r="Z20" s="308"/>
      <c r="AA20" s="322">
        <f t="shared" si="14"/>
        <v>3.75</v>
      </c>
      <c r="AB20" s="315">
        <f t="shared" si="15"/>
        <v>5.625</v>
      </c>
      <c r="AC20" s="323">
        <f t="shared" si="16"/>
        <v>14</v>
      </c>
    </row>
    <row r="21" spans="1:29" ht="14.25">
      <c r="A21" s="204"/>
      <c r="B21" s="248">
        <v>15</v>
      </c>
      <c r="C21" s="249">
        <v>131</v>
      </c>
      <c r="D21" s="237" t="str">
        <f t="shared" si="0"/>
        <v>ふるたか</v>
      </c>
      <c r="E21" s="251">
        <f t="shared" si="1"/>
        <v>8.31</v>
      </c>
      <c r="F21" s="252">
        <v>15</v>
      </c>
      <c r="G21" s="253">
        <v>0.5348032407407407</v>
      </c>
      <c r="H21" s="249">
        <f t="shared" si="2"/>
        <v>8406.9999999999964</v>
      </c>
      <c r="I21" s="265">
        <f t="shared" si="3"/>
        <v>598.20000000000005</v>
      </c>
      <c r="J21" s="251"/>
      <c r="K21" s="267">
        <f t="shared" si="4"/>
        <v>1647.3399999999956</v>
      </c>
      <c r="L21" s="253">
        <f t="shared" si="18"/>
        <v>1.6683333333333255E-2</v>
      </c>
      <c r="M21" s="268">
        <f t="shared" si="19"/>
        <v>127.56106194690204</v>
      </c>
      <c r="N21" s="269">
        <f t="shared" si="20"/>
        <v>4.8388247888664226</v>
      </c>
      <c r="O21" s="270">
        <f t="shared" si="21"/>
        <v>2.5</v>
      </c>
      <c r="P21" s="333"/>
      <c r="Q21" s="263"/>
      <c r="R21" s="293"/>
      <c r="S21" s="308"/>
      <c r="T21" s="316">
        <f t="shared" si="7"/>
        <v>8.2899999999999991</v>
      </c>
      <c r="U21" s="317">
        <f t="shared" si="8"/>
        <v>8.31</v>
      </c>
      <c r="V21" s="318">
        <f t="shared" si="9"/>
        <v>8.0500000000000007</v>
      </c>
      <c r="W21" s="319">
        <f t="shared" si="10"/>
        <v>965.1</v>
      </c>
      <c r="X21" s="320">
        <f t="shared" si="11"/>
        <v>598.20000000000005</v>
      </c>
      <c r="Y21" s="321">
        <f t="shared" si="12"/>
        <v>536.29999999999995</v>
      </c>
      <c r="Z21" s="308"/>
      <c r="AA21" s="322">
        <f t="shared" si="14"/>
        <v>2.5</v>
      </c>
      <c r="AB21" s="315">
        <f t="shared" si="15"/>
        <v>3.75</v>
      </c>
      <c r="AC21" s="323">
        <f t="shared" si="16"/>
        <v>12</v>
      </c>
    </row>
    <row r="22" spans="1:29" ht="14.25">
      <c r="A22" s="204"/>
      <c r="B22" s="279">
        <v>16</v>
      </c>
      <c r="C22" s="271">
        <v>162</v>
      </c>
      <c r="D22" s="224" t="str">
        <f t="shared" si="0"/>
        <v>ﾌｪﾆｯｸｽ</v>
      </c>
      <c r="E22" s="225">
        <f t="shared" si="1"/>
        <v>6.84</v>
      </c>
      <c r="F22" s="226">
        <v>16</v>
      </c>
      <c r="G22" s="275">
        <v>0.54743055555555553</v>
      </c>
      <c r="H22" s="271">
        <f t="shared" si="2"/>
        <v>9497.9999999999982</v>
      </c>
      <c r="I22" s="272">
        <f t="shared" si="3"/>
        <v>640.4</v>
      </c>
      <c r="J22" s="273"/>
      <c r="K22" s="274">
        <f t="shared" si="4"/>
        <v>2261.4799999999977</v>
      </c>
      <c r="L22" s="275">
        <f t="shared" si="18"/>
        <v>2.3791435185185131E-2</v>
      </c>
      <c r="M22" s="276">
        <f t="shared" si="19"/>
        <v>181.90973451327392</v>
      </c>
      <c r="N22" s="277">
        <f t="shared" si="20"/>
        <v>4.2830069488313338</v>
      </c>
      <c r="O22" s="232">
        <f t="shared" si="21"/>
        <v>1.3</v>
      </c>
      <c r="P22" s="286"/>
      <c r="Q22" s="280"/>
      <c r="R22" s="293"/>
      <c r="S22" s="308"/>
      <c r="T22" s="316">
        <f t="shared" si="7"/>
        <v>6.96</v>
      </c>
      <c r="U22" s="317">
        <f t="shared" si="8"/>
        <v>6.84</v>
      </c>
      <c r="V22" s="318">
        <f t="shared" si="9"/>
        <v>6.95</v>
      </c>
      <c r="W22" s="319">
        <f t="shared" si="10"/>
        <v>1024.3</v>
      </c>
      <c r="X22" s="320">
        <f t="shared" si="11"/>
        <v>640.4</v>
      </c>
      <c r="Y22" s="321">
        <f t="shared" si="12"/>
        <v>569.4</v>
      </c>
      <c r="Z22" s="308"/>
      <c r="AA22" s="322">
        <f t="shared" si="14"/>
        <v>1.25</v>
      </c>
      <c r="AB22" s="315">
        <f t="shared" si="15"/>
        <v>1.875</v>
      </c>
      <c r="AC22" s="323">
        <f t="shared" si="16"/>
        <v>10</v>
      </c>
    </row>
    <row r="23" spans="1:29" ht="14.25">
      <c r="A23" s="204"/>
      <c r="B23" s="235"/>
      <c r="C23" s="236"/>
      <c r="D23" s="237" t="str">
        <f t="shared" si="0"/>
        <v/>
      </c>
      <c r="E23" s="238" t="str">
        <f t="shared" si="1"/>
        <v/>
      </c>
      <c r="F23" s="239"/>
      <c r="G23" s="240"/>
      <c r="H23" s="236" t="str">
        <f t="shared" si="2"/>
        <v/>
      </c>
      <c r="I23" s="241" t="str">
        <f t="shared" si="3"/>
        <v/>
      </c>
      <c r="J23" s="332"/>
      <c r="K23" s="242" t="str">
        <f t="shared" si="4"/>
        <v/>
      </c>
      <c r="L23" s="240" t="str">
        <f>IFERROR((K23-$K$7)/86400,"")</f>
        <v/>
      </c>
      <c r="M23" s="243" t="str">
        <f>IFERROR((K23-$K$7)/$N$3,"")</f>
        <v/>
      </c>
      <c r="N23" s="244" t="str">
        <f>IFERROR($N$3/(H23/3600),"")</f>
        <v/>
      </c>
      <c r="O23" s="278"/>
      <c r="P23" s="281"/>
      <c r="Q23" s="247"/>
      <c r="R23" s="293"/>
      <c r="S23" s="308"/>
      <c r="T23" s="316" t="str">
        <f t="shared" si="7"/>
        <v/>
      </c>
      <c r="U23" s="317" t="str">
        <f t="shared" si="8"/>
        <v/>
      </c>
      <c r="V23" s="318" t="str">
        <f t="shared" si="9"/>
        <v/>
      </c>
      <c r="W23" s="319" t="str">
        <f t="shared" si="10"/>
        <v/>
      </c>
      <c r="X23" s="320" t="str">
        <f t="shared" si="11"/>
        <v/>
      </c>
      <c r="Y23" s="321" t="str">
        <f t="shared" si="12"/>
        <v/>
      </c>
      <c r="Z23" s="308"/>
      <c r="AA23" s="322" t="str">
        <f t="shared" si="14"/>
        <v/>
      </c>
      <c r="AB23" s="315" t="str">
        <f t="shared" si="15"/>
        <v/>
      </c>
      <c r="AC23" s="323" t="str">
        <f t="shared" si="16"/>
        <v/>
      </c>
    </row>
    <row r="24" spans="1:29" ht="14.25">
      <c r="A24" s="204"/>
      <c r="B24" s="235"/>
      <c r="C24" s="236"/>
      <c r="D24" s="237"/>
      <c r="E24" s="238"/>
      <c r="F24" s="239"/>
      <c r="G24" s="240"/>
      <c r="H24" s="236"/>
      <c r="I24" s="241"/>
      <c r="J24" s="238"/>
      <c r="K24" s="242"/>
      <c r="L24" s="240"/>
      <c r="M24" s="243"/>
      <c r="N24" s="244"/>
      <c r="O24" s="245"/>
      <c r="P24" s="282"/>
      <c r="Q24" s="247"/>
      <c r="R24" s="293"/>
      <c r="S24" s="308"/>
      <c r="T24" s="316" t="str">
        <f t="shared" si="7"/>
        <v/>
      </c>
      <c r="U24" s="317" t="str">
        <f t="shared" si="8"/>
        <v/>
      </c>
      <c r="V24" s="318" t="str">
        <f t="shared" si="9"/>
        <v/>
      </c>
      <c r="W24" s="319" t="str">
        <f t="shared" si="10"/>
        <v/>
      </c>
      <c r="X24" s="320" t="str">
        <f t="shared" si="11"/>
        <v/>
      </c>
      <c r="Y24" s="321" t="str">
        <f t="shared" si="12"/>
        <v/>
      </c>
      <c r="Z24" s="308"/>
      <c r="AA24" s="322" t="str">
        <f t="shared" si="14"/>
        <v/>
      </c>
      <c r="AB24" s="315" t="str">
        <f t="shared" si="15"/>
        <v/>
      </c>
      <c r="AC24" s="323" t="str">
        <f t="shared" si="16"/>
        <v/>
      </c>
    </row>
    <row r="25" spans="1:29" ht="14.25">
      <c r="A25" s="204"/>
      <c r="B25" s="235"/>
      <c r="C25" s="236"/>
      <c r="D25" s="237" t="str">
        <f t="shared" ref="D25:D31" si="22">IF(ISBLANK(C25),"",VLOOKUP(C25,各艇データ,2,FALSE))</f>
        <v/>
      </c>
      <c r="E25" s="238"/>
      <c r="F25" s="239"/>
      <c r="G25" s="240"/>
      <c r="H25" s="236"/>
      <c r="I25" s="241"/>
      <c r="J25" s="238"/>
      <c r="K25" s="242"/>
      <c r="L25" s="240"/>
      <c r="M25" s="243"/>
      <c r="N25" s="244"/>
      <c r="O25" s="245"/>
      <c r="P25" s="282"/>
      <c r="Q25" s="247"/>
      <c r="R25" s="293"/>
      <c r="S25" s="308"/>
      <c r="T25" s="316" t="str">
        <f t="shared" si="7"/>
        <v/>
      </c>
      <c r="U25" s="317" t="str">
        <f t="shared" si="8"/>
        <v/>
      </c>
      <c r="V25" s="318" t="str">
        <f t="shared" si="9"/>
        <v/>
      </c>
      <c r="W25" s="319" t="str">
        <f t="shared" si="10"/>
        <v/>
      </c>
      <c r="X25" s="320" t="str">
        <f t="shared" si="11"/>
        <v/>
      </c>
      <c r="Y25" s="321" t="str">
        <f t="shared" si="12"/>
        <v/>
      </c>
      <c r="Z25" s="308"/>
      <c r="AA25" s="322" t="str">
        <f t="shared" si="14"/>
        <v/>
      </c>
      <c r="AB25" s="315" t="str">
        <f t="shared" si="15"/>
        <v/>
      </c>
      <c r="AC25" s="323" t="str">
        <f t="shared" si="16"/>
        <v/>
      </c>
    </row>
    <row r="26" spans="1:29" ht="14.25">
      <c r="A26" s="204"/>
      <c r="B26" s="248"/>
      <c r="C26" s="249"/>
      <c r="D26" s="250" t="str">
        <f t="shared" si="22"/>
        <v/>
      </c>
      <c r="E26" s="251"/>
      <c r="F26" s="252"/>
      <c r="G26" s="253"/>
      <c r="H26" s="249" t="str">
        <f>IFERROR(IF(G26-$Q$2&lt;=0,"",(G26-$Q$2)*86400),"")</f>
        <v/>
      </c>
      <c r="I26" s="265" t="str">
        <f>IF($I$6="Ⅰ",W26,IF($I$6="Ⅱ",X26,IF($I$6="Ⅲ",Y26,"")))</f>
        <v/>
      </c>
      <c r="J26" s="251"/>
      <c r="K26" s="267" t="str">
        <f>IFERROR(H26*(1+0.01*J26)-I26*$N$3,"")</f>
        <v/>
      </c>
      <c r="L26" s="253" t="str">
        <f>IFERROR((K26-$K$7)/86400,"")</f>
        <v/>
      </c>
      <c r="M26" s="268" t="str">
        <f>IFERROR((K26-$K$7)/$N$3,"")</f>
        <v/>
      </c>
      <c r="N26" s="269" t="str">
        <f>IFERROR($N$3/(H26/3600),"")</f>
        <v/>
      </c>
      <c r="O26" s="270" t="str">
        <f>IF($O$6="MAX=20",AA26,IF($O$6="MAX=30",AB26,IF($O$6="MAX=40",AC26,"")))</f>
        <v/>
      </c>
      <c r="P26" s="283"/>
      <c r="Q26" s="263"/>
      <c r="R26" s="293"/>
      <c r="S26" s="308"/>
      <c r="T26" s="316" t="str">
        <f t="shared" si="7"/>
        <v/>
      </c>
      <c r="U26" s="317" t="str">
        <f t="shared" si="8"/>
        <v/>
      </c>
      <c r="V26" s="318" t="str">
        <f t="shared" si="9"/>
        <v/>
      </c>
      <c r="W26" s="319" t="str">
        <f t="shared" si="10"/>
        <v/>
      </c>
      <c r="X26" s="320" t="str">
        <f t="shared" si="11"/>
        <v/>
      </c>
      <c r="Y26" s="321" t="str">
        <f t="shared" si="12"/>
        <v/>
      </c>
      <c r="Z26" s="308"/>
      <c r="AA26" s="322" t="str">
        <f t="shared" si="14"/>
        <v/>
      </c>
      <c r="AB26" s="315" t="str">
        <f t="shared" si="15"/>
        <v/>
      </c>
      <c r="AC26" s="323" t="str">
        <f t="shared" si="16"/>
        <v/>
      </c>
    </row>
    <row r="27" spans="1:29" ht="14.25">
      <c r="A27" s="204"/>
      <c r="B27" s="279"/>
      <c r="C27" s="271"/>
      <c r="D27" s="284" t="str">
        <f t="shared" si="22"/>
        <v/>
      </c>
      <c r="E27" s="273"/>
      <c r="F27" s="285"/>
      <c r="G27" s="275"/>
      <c r="H27" s="223" t="str">
        <f>IFERROR(IF(G27-$Q$2&lt;=0,"",(G27-$Q$2)*86400),"")</f>
        <v/>
      </c>
      <c r="I27" s="228"/>
      <c r="J27" s="225"/>
      <c r="K27" s="229" t="str">
        <f>IFERROR(H27*(1+0.01*J27)-I27*$N$3,"")</f>
        <v/>
      </c>
      <c r="L27" s="227" t="str">
        <f>IFERROR((K27-$K$7)/86400,"")</f>
        <v/>
      </c>
      <c r="M27" s="230" t="str">
        <f>IFERROR((K27-$K$7)/$N$3,"")</f>
        <v/>
      </c>
      <c r="N27" s="231" t="str">
        <f>IFERROR($N$3/(H27/3600),"")</f>
        <v/>
      </c>
      <c r="O27" s="232"/>
      <c r="P27" s="286"/>
      <c r="Q27" s="280"/>
      <c r="R27" s="293"/>
      <c r="S27" s="308"/>
      <c r="T27" s="316" t="str">
        <f t="shared" si="7"/>
        <v/>
      </c>
      <c r="U27" s="317" t="str">
        <f t="shared" si="8"/>
        <v/>
      </c>
      <c r="V27" s="318" t="str">
        <f t="shared" si="9"/>
        <v/>
      </c>
      <c r="W27" s="319" t="str">
        <f t="shared" si="10"/>
        <v/>
      </c>
      <c r="X27" s="320" t="str">
        <f t="shared" si="11"/>
        <v/>
      </c>
      <c r="Y27" s="321" t="str">
        <f t="shared" si="12"/>
        <v/>
      </c>
      <c r="Z27" s="308"/>
      <c r="AA27" s="322" t="str">
        <f t="shared" si="14"/>
        <v/>
      </c>
      <c r="AB27" s="315" t="str">
        <f t="shared" si="15"/>
        <v/>
      </c>
      <c r="AC27" s="323" t="str">
        <f t="shared" si="16"/>
        <v/>
      </c>
    </row>
    <row r="28" spans="1:29" ht="14.25" customHeight="1">
      <c r="A28" s="204"/>
      <c r="B28" s="235"/>
      <c r="C28" s="236"/>
      <c r="D28" s="237" t="str">
        <f t="shared" si="22"/>
        <v/>
      </c>
      <c r="E28" s="238"/>
      <c r="F28" s="239"/>
      <c r="G28" s="240"/>
      <c r="H28" s="236"/>
      <c r="I28" s="241"/>
      <c r="J28" s="238"/>
      <c r="K28" s="242"/>
      <c r="L28" s="240"/>
      <c r="M28" s="243"/>
      <c r="N28" s="244"/>
      <c r="O28" s="245"/>
      <c r="P28" s="287"/>
      <c r="Q28" s="247"/>
      <c r="R28" s="293"/>
      <c r="S28" s="308"/>
      <c r="T28" s="316" t="str">
        <f t="shared" si="7"/>
        <v/>
      </c>
      <c r="U28" s="317" t="str">
        <f t="shared" si="8"/>
        <v/>
      </c>
      <c r="V28" s="318" t="str">
        <f t="shared" si="9"/>
        <v/>
      </c>
      <c r="W28" s="319" t="str">
        <f t="shared" si="10"/>
        <v/>
      </c>
      <c r="X28" s="320" t="str">
        <f t="shared" si="11"/>
        <v/>
      </c>
      <c r="Y28" s="321" t="str">
        <f t="shared" si="12"/>
        <v/>
      </c>
      <c r="Z28" s="308"/>
      <c r="AA28" s="322" t="str">
        <f t="shared" si="14"/>
        <v/>
      </c>
      <c r="AB28" s="315" t="str">
        <f t="shared" si="15"/>
        <v/>
      </c>
      <c r="AC28" s="323" t="str">
        <f t="shared" si="16"/>
        <v/>
      </c>
    </row>
    <row r="29" spans="1:29" ht="14.25">
      <c r="A29" s="204"/>
      <c r="B29" s="235"/>
      <c r="C29" s="236"/>
      <c r="D29" s="237" t="str">
        <f t="shared" si="22"/>
        <v/>
      </c>
      <c r="E29" s="238"/>
      <c r="F29" s="239"/>
      <c r="G29" s="240"/>
      <c r="H29" s="236"/>
      <c r="I29" s="241"/>
      <c r="J29" s="238"/>
      <c r="K29" s="242"/>
      <c r="L29" s="240"/>
      <c r="M29" s="243"/>
      <c r="N29" s="244"/>
      <c r="O29" s="245"/>
      <c r="P29" s="282"/>
      <c r="Q29" s="247"/>
      <c r="R29" s="293"/>
      <c r="S29" s="308"/>
      <c r="T29" s="316" t="str">
        <f t="shared" si="7"/>
        <v/>
      </c>
      <c r="U29" s="317" t="str">
        <f t="shared" si="8"/>
        <v/>
      </c>
      <c r="V29" s="318" t="str">
        <f t="shared" si="9"/>
        <v/>
      </c>
      <c r="W29" s="319" t="str">
        <f t="shared" si="10"/>
        <v/>
      </c>
      <c r="X29" s="320" t="str">
        <f t="shared" si="11"/>
        <v/>
      </c>
      <c r="Y29" s="321" t="str">
        <f t="shared" si="12"/>
        <v/>
      </c>
      <c r="Z29" s="308"/>
      <c r="AA29" s="322" t="str">
        <f t="shared" si="14"/>
        <v/>
      </c>
      <c r="AB29" s="315" t="str">
        <f t="shared" si="15"/>
        <v/>
      </c>
      <c r="AC29" s="323" t="str">
        <f t="shared" si="16"/>
        <v/>
      </c>
    </row>
    <row r="30" spans="1:29" ht="14.25" customHeight="1">
      <c r="A30" s="204"/>
      <c r="B30" s="235"/>
      <c r="C30" s="236"/>
      <c r="D30" s="237" t="str">
        <f t="shared" si="22"/>
        <v/>
      </c>
      <c r="E30" s="238"/>
      <c r="F30" s="239"/>
      <c r="G30" s="240"/>
      <c r="H30" s="236"/>
      <c r="I30" s="241"/>
      <c r="J30" s="238"/>
      <c r="K30" s="242"/>
      <c r="L30" s="240"/>
      <c r="M30" s="243"/>
      <c r="N30" s="244"/>
      <c r="O30" s="245"/>
      <c r="P30" s="282"/>
      <c r="Q30" s="247"/>
      <c r="R30" s="293"/>
      <c r="S30" s="308"/>
      <c r="T30" s="316" t="str">
        <f t="shared" si="7"/>
        <v/>
      </c>
      <c r="U30" s="317" t="str">
        <f t="shared" si="8"/>
        <v/>
      </c>
      <c r="V30" s="318" t="str">
        <f t="shared" si="9"/>
        <v/>
      </c>
      <c r="W30" s="319" t="str">
        <f t="shared" si="10"/>
        <v/>
      </c>
      <c r="X30" s="320" t="str">
        <f t="shared" si="11"/>
        <v/>
      </c>
      <c r="Y30" s="321" t="str">
        <f t="shared" si="12"/>
        <v/>
      </c>
      <c r="Z30" s="308"/>
      <c r="AA30" s="322" t="str">
        <f t="shared" si="14"/>
        <v/>
      </c>
      <c r="AB30" s="315" t="str">
        <f t="shared" si="15"/>
        <v/>
      </c>
      <c r="AC30" s="323" t="str">
        <f t="shared" si="16"/>
        <v/>
      </c>
    </row>
    <row r="31" spans="1:29" ht="15" thickBot="1">
      <c r="A31" s="204"/>
      <c r="B31" s="235"/>
      <c r="C31" s="236"/>
      <c r="D31" s="250" t="str">
        <f t="shared" si="22"/>
        <v/>
      </c>
      <c r="E31" s="251"/>
      <c r="F31" s="239"/>
      <c r="G31" s="240"/>
      <c r="H31" s="249" t="str">
        <f>IFERROR(IF(G31-$Q$2&lt;=0,"",(G31-$Q$2)*86400),"")</f>
        <v/>
      </c>
      <c r="I31" s="265" t="str">
        <f>IF($I$6="Ⅰ",W31,IF($I$6="Ⅱ",X31,IF($I$6="Ⅲ",Y31,"")))</f>
        <v/>
      </c>
      <c r="J31" s="251"/>
      <c r="K31" s="267" t="str">
        <f>IFERROR(H31*(1+0.01*J31)-I31*$N$3,"")</f>
        <v/>
      </c>
      <c r="L31" s="253" t="str">
        <f>IFERROR((K31-$K$7)/86400,"")</f>
        <v/>
      </c>
      <c r="M31" s="268" t="str">
        <f>IFERROR((K31-$K$7)/$N$3,"")</f>
        <v/>
      </c>
      <c r="N31" s="269" t="str">
        <f>IFERROR($N$3/(H31/3600),"")</f>
        <v/>
      </c>
      <c r="O31" s="270" t="str">
        <f>IF($O$6="MAX=20",AA31,IF($O$6="MAX=30",AB31,IF($O$6="MAX=40",AC31,"")))</f>
        <v/>
      </c>
      <c r="P31" s="283"/>
      <c r="Q31" s="263"/>
      <c r="R31" s="293"/>
      <c r="S31" s="308"/>
      <c r="T31" s="324" t="str">
        <f t="shared" si="7"/>
        <v/>
      </c>
      <c r="U31" s="325" t="str">
        <f t="shared" si="8"/>
        <v/>
      </c>
      <c r="V31" s="326" t="str">
        <f t="shared" si="9"/>
        <v/>
      </c>
      <c r="W31" s="327" t="str">
        <f t="shared" si="10"/>
        <v/>
      </c>
      <c r="X31" s="328" t="str">
        <f t="shared" si="11"/>
        <v/>
      </c>
      <c r="Y31" s="329" t="str">
        <f t="shared" si="12"/>
        <v/>
      </c>
      <c r="Z31" s="308"/>
      <c r="AA31" s="340" t="str">
        <f t="shared" si="14"/>
        <v/>
      </c>
      <c r="AB31" s="341" t="str">
        <f t="shared" si="15"/>
        <v/>
      </c>
      <c r="AC31" s="342" t="str">
        <f t="shared" si="16"/>
        <v/>
      </c>
    </row>
    <row r="32" spans="1:29" ht="15" customHeight="1">
      <c r="A32" s="204"/>
      <c r="B32" s="608" t="s">
        <v>340</v>
      </c>
      <c r="C32" s="609"/>
      <c r="D32" s="610"/>
      <c r="E32" s="288" t="s">
        <v>414</v>
      </c>
      <c r="F32" s="601" t="s">
        <v>415</v>
      </c>
      <c r="G32" s="602"/>
      <c r="H32" s="592" t="s">
        <v>423</v>
      </c>
      <c r="I32" s="593"/>
      <c r="J32" s="593"/>
      <c r="K32" s="593"/>
      <c r="L32" s="593"/>
      <c r="M32" s="593"/>
      <c r="N32" s="593"/>
      <c r="O32" s="593"/>
      <c r="P32" s="593"/>
      <c r="Q32" s="594"/>
      <c r="R32" s="193"/>
      <c r="S32" s="302"/>
      <c r="T32" s="302"/>
      <c r="U32" s="302"/>
      <c r="V32" s="302"/>
      <c r="Y32" s="302"/>
      <c r="Z32" s="302"/>
    </row>
    <row r="33" spans="1:26" ht="15" customHeight="1">
      <c r="A33" s="204"/>
      <c r="B33" s="611"/>
      <c r="C33" s="612"/>
      <c r="D33" s="613"/>
      <c r="E33" s="289" t="s">
        <v>189</v>
      </c>
      <c r="F33" s="603" t="s">
        <v>422</v>
      </c>
      <c r="G33" s="604"/>
      <c r="H33" s="595"/>
      <c r="I33" s="596"/>
      <c r="J33" s="596"/>
      <c r="K33" s="596"/>
      <c r="L33" s="596"/>
      <c r="M33" s="596"/>
      <c r="N33" s="596"/>
      <c r="O33" s="596"/>
      <c r="P33" s="596"/>
      <c r="Q33" s="597"/>
      <c r="R33" s="193"/>
      <c r="S33" s="302"/>
      <c r="T33" s="302"/>
      <c r="U33" s="302"/>
      <c r="V33" s="302"/>
      <c r="Y33" s="302"/>
      <c r="Z33" s="302"/>
    </row>
    <row r="34" spans="1:26" ht="23.25" customHeight="1">
      <c r="A34" s="204"/>
      <c r="B34" s="614"/>
      <c r="C34" s="615"/>
      <c r="D34" s="616"/>
      <c r="E34" s="289" t="s">
        <v>190</v>
      </c>
      <c r="F34" s="603" t="s">
        <v>416</v>
      </c>
      <c r="G34" s="604"/>
      <c r="H34" s="595"/>
      <c r="I34" s="596"/>
      <c r="J34" s="596"/>
      <c r="K34" s="596"/>
      <c r="L34" s="596"/>
      <c r="M34" s="596"/>
      <c r="N34" s="596"/>
      <c r="O34" s="596"/>
      <c r="P34" s="596"/>
      <c r="Q34" s="597"/>
      <c r="R34" s="193"/>
      <c r="S34" s="302"/>
      <c r="T34" s="302"/>
      <c r="U34" s="302"/>
      <c r="V34" s="302"/>
      <c r="Y34" s="302"/>
      <c r="Z34" s="302"/>
    </row>
    <row r="35" spans="1:26" ht="22.5" customHeight="1">
      <c r="A35" s="204"/>
      <c r="B35" s="617" t="s">
        <v>330</v>
      </c>
      <c r="C35" s="618"/>
      <c r="D35" s="619"/>
      <c r="E35" s="626" t="s">
        <v>192</v>
      </c>
      <c r="F35" s="603" t="str">
        <f>参照ﾃﾞｰﾀ!AL14</f>
        <v>ふるたか</v>
      </c>
      <c r="G35" s="604"/>
      <c r="H35" s="595"/>
      <c r="I35" s="596"/>
      <c r="J35" s="596"/>
      <c r="K35" s="596"/>
      <c r="L35" s="596"/>
      <c r="M35" s="596"/>
      <c r="N35" s="596"/>
      <c r="O35" s="596"/>
      <c r="P35" s="596"/>
      <c r="Q35" s="597"/>
      <c r="R35" s="193"/>
      <c r="S35" s="302"/>
      <c r="T35" s="302"/>
      <c r="U35" s="302"/>
      <c r="V35" s="302"/>
      <c r="Y35" s="302"/>
      <c r="Z35" s="302"/>
    </row>
    <row r="36" spans="1:26" ht="15" customHeight="1">
      <c r="A36" s="204"/>
      <c r="B36" s="620"/>
      <c r="C36" s="621"/>
      <c r="D36" s="622"/>
      <c r="E36" s="627"/>
      <c r="F36" s="603"/>
      <c r="G36" s="604"/>
      <c r="H36" s="595"/>
      <c r="I36" s="596"/>
      <c r="J36" s="596"/>
      <c r="K36" s="596"/>
      <c r="L36" s="596"/>
      <c r="M36" s="596"/>
      <c r="N36" s="596"/>
      <c r="O36" s="596"/>
      <c r="P36" s="596"/>
      <c r="Q36" s="597"/>
      <c r="R36" s="193"/>
      <c r="S36" s="302"/>
      <c r="T36" s="302"/>
      <c r="U36" s="302"/>
      <c r="V36" s="302"/>
      <c r="Y36" s="302"/>
      <c r="Z36" s="302"/>
    </row>
    <row r="37" spans="1:26" ht="15" customHeight="1">
      <c r="A37" s="204"/>
      <c r="B37" s="620"/>
      <c r="C37" s="621"/>
      <c r="D37" s="622"/>
      <c r="E37" s="288" t="s">
        <v>191</v>
      </c>
      <c r="F37" s="605">
        <v>43422</v>
      </c>
      <c r="G37" s="602"/>
      <c r="H37" s="595"/>
      <c r="I37" s="596"/>
      <c r="J37" s="596"/>
      <c r="K37" s="596"/>
      <c r="L37" s="596"/>
      <c r="M37" s="596"/>
      <c r="N37" s="596"/>
      <c r="O37" s="596"/>
      <c r="P37" s="596"/>
      <c r="Q37" s="597"/>
      <c r="R37" s="193"/>
      <c r="S37" s="302"/>
      <c r="T37" s="302"/>
      <c r="U37" s="302"/>
      <c r="V37" s="302"/>
      <c r="Y37" s="302"/>
      <c r="Z37" s="302"/>
    </row>
    <row r="38" spans="1:26" ht="15" customHeight="1">
      <c r="A38" s="204"/>
      <c r="B38" s="620"/>
      <c r="C38" s="621"/>
      <c r="D38" s="622"/>
      <c r="E38" s="289" t="s">
        <v>205</v>
      </c>
      <c r="F38" s="603" t="s">
        <v>267</v>
      </c>
      <c r="G38" s="604"/>
      <c r="H38" s="595"/>
      <c r="I38" s="596"/>
      <c r="J38" s="596"/>
      <c r="K38" s="596"/>
      <c r="L38" s="596"/>
      <c r="M38" s="596"/>
      <c r="N38" s="596"/>
      <c r="O38" s="596"/>
      <c r="P38" s="596"/>
      <c r="Q38" s="597"/>
      <c r="R38" s="193"/>
      <c r="S38" s="302"/>
      <c r="T38" s="302"/>
      <c r="U38" s="302"/>
      <c r="V38" s="302"/>
      <c r="Y38" s="302"/>
      <c r="Z38" s="302"/>
    </row>
    <row r="39" spans="1:26" ht="15" customHeight="1">
      <c r="A39" s="204"/>
      <c r="B39" s="620"/>
      <c r="C39" s="621"/>
      <c r="D39" s="622"/>
      <c r="E39" s="289" t="s">
        <v>192</v>
      </c>
      <c r="F39" s="603" t="str">
        <f>参照ﾃﾞｰﾀ!AL15</f>
        <v>アイデアル</v>
      </c>
      <c r="G39" s="604"/>
      <c r="H39" s="595"/>
      <c r="I39" s="596"/>
      <c r="J39" s="596"/>
      <c r="K39" s="596"/>
      <c r="L39" s="596"/>
      <c r="M39" s="596"/>
      <c r="N39" s="596"/>
      <c r="O39" s="596"/>
      <c r="P39" s="596"/>
      <c r="Q39" s="597"/>
      <c r="R39" s="193"/>
      <c r="S39" s="302"/>
      <c r="T39" s="302"/>
      <c r="U39" s="302"/>
      <c r="V39" s="302"/>
      <c r="Y39" s="302"/>
      <c r="Z39" s="302"/>
    </row>
    <row r="40" spans="1:26" ht="15">
      <c r="A40" s="204"/>
      <c r="B40" s="620"/>
      <c r="C40" s="621"/>
      <c r="D40" s="622"/>
      <c r="E40" s="289"/>
      <c r="F40" s="603"/>
      <c r="G40" s="604"/>
      <c r="H40" s="595"/>
      <c r="I40" s="596"/>
      <c r="J40" s="596"/>
      <c r="K40" s="596"/>
      <c r="L40" s="596"/>
      <c r="M40" s="596"/>
      <c r="N40" s="596"/>
      <c r="O40" s="596"/>
      <c r="P40" s="596"/>
      <c r="Q40" s="597"/>
      <c r="R40" s="193"/>
      <c r="S40" s="302"/>
      <c r="T40" s="302"/>
      <c r="U40" s="302"/>
      <c r="V40" s="302"/>
      <c r="Y40" s="302"/>
      <c r="Z40" s="302"/>
    </row>
    <row r="41" spans="1:26" ht="11.25" customHeight="1" thickBot="1">
      <c r="A41" s="204"/>
      <c r="B41" s="623"/>
      <c r="C41" s="624"/>
      <c r="D41" s="625"/>
      <c r="E41" s="290"/>
      <c r="F41" s="628"/>
      <c r="G41" s="629"/>
      <c r="H41" s="598"/>
      <c r="I41" s="599"/>
      <c r="J41" s="599"/>
      <c r="K41" s="599"/>
      <c r="L41" s="599"/>
      <c r="M41" s="599"/>
      <c r="N41" s="599"/>
      <c r="O41" s="599"/>
      <c r="P41" s="599"/>
      <c r="Q41" s="600"/>
      <c r="R41" s="193"/>
      <c r="S41" s="302"/>
      <c r="T41" s="302"/>
      <c r="U41" s="302"/>
      <c r="V41" s="302"/>
      <c r="W41" s="302"/>
      <c r="X41" s="302"/>
      <c r="Y41" s="302"/>
      <c r="Z41" s="302"/>
    </row>
    <row r="42" spans="1:26">
      <c r="A42" s="204"/>
      <c r="B42" s="204"/>
      <c r="C42" s="204"/>
      <c r="D42" s="204"/>
      <c r="E42" s="204"/>
      <c r="F42" s="204"/>
      <c r="G42" s="204"/>
      <c r="H42" s="204"/>
      <c r="I42" s="204"/>
      <c r="J42" s="204"/>
      <c r="K42" s="204"/>
      <c r="L42" s="204"/>
      <c r="M42" s="204"/>
      <c r="N42" s="204"/>
      <c r="O42" s="204"/>
      <c r="P42" s="204"/>
      <c r="Q42" s="204"/>
      <c r="R42" s="204"/>
    </row>
  </sheetData>
  <sortState ref="C7:K22">
    <sortCondition ref="K7:K22"/>
  </sortState>
  <mergeCells count="18">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D2:F2"/>
    <mergeCell ref="E3:I3"/>
    <mergeCell ref="J3:K3"/>
  </mergeCells>
  <phoneticPr fontId="42"/>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zoomScale="85" zoomScaleNormal="85" workbookViewId="0">
      <selection activeCell="H32" sqref="H32:Q41"/>
    </sheetView>
  </sheetViews>
  <sheetFormatPr defaultRowHeight="13.5"/>
  <cols>
    <col min="1" max="1" width="1.75" style="301" customWidth="1"/>
    <col min="2" max="2" width="5" style="301" customWidth="1"/>
    <col min="3" max="3" width="7" style="301" customWidth="1"/>
    <col min="4" max="4" width="18" style="301" customWidth="1"/>
    <col min="5" max="5" width="8" style="301" customWidth="1"/>
    <col min="6" max="6" width="5" style="301" customWidth="1"/>
    <col min="7" max="7" width="10.875" style="301" customWidth="1"/>
    <col min="8" max="8" width="8.375" style="301" customWidth="1"/>
    <col min="9" max="9" width="8.625" style="301" customWidth="1"/>
    <col min="10" max="10" width="5" style="301" customWidth="1"/>
    <col min="11" max="11" width="8.5" style="301" customWidth="1"/>
    <col min="12" max="12" width="10.875" style="301" customWidth="1"/>
    <col min="13" max="13" width="9.5" style="301" customWidth="1"/>
    <col min="14" max="14" width="7.875" style="301" customWidth="1"/>
    <col min="15" max="15" width="8" style="301" customWidth="1"/>
    <col min="16" max="16" width="12" style="301" bestFit="1" customWidth="1"/>
    <col min="17" max="17" width="11.625" style="301" customWidth="1"/>
    <col min="18" max="18" width="1.375" style="301" customWidth="1"/>
    <col min="19" max="21" width="7.625" style="301" customWidth="1"/>
    <col min="22" max="22" width="7.75" style="301" customWidth="1"/>
    <col min="23" max="24" width="7.625" style="301" customWidth="1"/>
    <col min="25" max="25" width="4.5" style="301" customWidth="1"/>
    <col min="26" max="28" width="8" style="301" customWidth="1"/>
    <col min="29" max="16384" width="9" style="301"/>
  </cols>
  <sheetData>
    <row r="1" spans="1:28" ht="9.75" customHeight="1" thickBot="1">
      <c r="A1" s="204"/>
      <c r="B1" s="204"/>
      <c r="C1" s="204"/>
      <c r="D1" s="204"/>
      <c r="E1" s="204"/>
      <c r="F1" s="204"/>
      <c r="G1" s="204"/>
      <c r="H1" s="204"/>
      <c r="I1" s="204"/>
      <c r="J1" s="204"/>
      <c r="K1" s="204"/>
      <c r="L1" s="204"/>
      <c r="M1" s="204"/>
      <c r="N1" s="204"/>
      <c r="O1" s="204"/>
      <c r="P1" s="204"/>
      <c r="Q1" s="204"/>
      <c r="R1" s="204"/>
    </row>
    <row r="2" spans="1:28" ht="21">
      <c r="A2" s="204"/>
      <c r="B2" s="193"/>
      <c r="C2" s="194"/>
      <c r="D2" s="606" t="str">
        <f>参照ﾃﾞｰﾀ!P4</f>
        <v>2018年</v>
      </c>
      <c r="E2" s="606"/>
      <c r="F2" s="606"/>
      <c r="G2" s="195" t="s">
        <v>203</v>
      </c>
      <c r="H2" s="196"/>
      <c r="I2" s="197"/>
      <c r="J2" s="193"/>
      <c r="K2" s="198"/>
      <c r="L2" s="193"/>
      <c r="M2" s="199" t="s">
        <v>53</v>
      </c>
      <c r="N2" s="200" t="s">
        <v>267</v>
      </c>
      <c r="O2" s="201" t="s">
        <v>55</v>
      </c>
      <c r="P2" s="455">
        <v>43422</v>
      </c>
      <c r="Q2" s="456">
        <v>0.41666666666666669</v>
      </c>
      <c r="R2" s="193"/>
      <c r="S2" s="303" t="s">
        <v>2</v>
      </c>
      <c r="T2" s="302"/>
      <c r="U2" s="302"/>
      <c r="V2" s="302"/>
      <c r="W2" s="302"/>
      <c r="X2" s="302"/>
      <c r="Y2" s="302"/>
    </row>
    <row r="3" spans="1:28" ht="21.75" customHeight="1" thickBot="1">
      <c r="A3" s="204"/>
      <c r="B3" s="193"/>
      <c r="C3" s="204"/>
      <c r="D3" s="339" t="s">
        <v>241</v>
      </c>
      <c r="E3" s="607" t="s">
        <v>65</v>
      </c>
      <c r="F3" s="607"/>
      <c r="G3" s="607"/>
      <c r="H3" s="607"/>
      <c r="I3" s="607"/>
      <c r="J3" s="589" t="s">
        <v>88</v>
      </c>
      <c r="K3" s="589"/>
      <c r="L3" s="206"/>
      <c r="M3" s="207" t="s">
        <v>77</v>
      </c>
      <c r="N3" s="208">
        <v>16.8</v>
      </c>
      <c r="O3" s="209" t="s">
        <v>0</v>
      </c>
      <c r="P3" s="210">
        <v>14</v>
      </c>
      <c r="Q3" s="211" t="s">
        <v>1</v>
      </c>
      <c r="R3" s="193"/>
      <c r="S3" s="302" t="s">
        <v>265</v>
      </c>
      <c r="T3" s="302"/>
      <c r="U3" s="302"/>
      <c r="V3" s="303" t="s">
        <v>2</v>
      </c>
      <c r="W3" s="304"/>
      <c r="X3" s="304"/>
      <c r="Y3" s="302"/>
      <c r="Z3" s="305" t="s">
        <v>78</v>
      </c>
    </row>
    <row r="4" spans="1:28" ht="7.5" customHeight="1" thickBot="1">
      <c r="A4" s="204"/>
      <c r="B4" s="193"/>
      <c r="C4" s="193"/>
      <c r="D4" s="193"/>
      <c r="E4" s="193"/>
      <c r="F4" s="193"/>
      <c r="G4" s="193"/>
      <c r="H4" s="193"/>
      <c r="I4" s="193"/>
      <c r="J4" s="193"/>
      <c r="K4" s="193"/>
      <c r="L4" s="193"/>
      <c r="M4" s="193"/>
      <c r="N4" s="193"/>
      <c r="O4" s="193"/>
      <c r="P4" s="193"/>
      <c r="Q4" s="193"/>
      <c r="R4" s="193"/>
      <c r="S4" s="302"/>
      <c r="T4" s="302"/>
      <c r="U4" s="302"/>
      <c r="V4" s="306"/>
      <c r="W4" s="304"/>
      <c r="X4" s="304"/>
      <c r="Y4" s="302"/>
    </row>
    <row r="5" spans="1:28" ht="14.25">
      <c r="A5" s="204"/>
      <c r="B5" s="212" t="s">
        <v>3</v>
      </c>
      <c r="C5" s="213" t="s">
        <v>4</v>
      </c>
      <c r="D5" s="213" t="s">
        <v>5</v>
      </c>
      <c r="E5" s="213" t="s">
        <v>6</v>
      </c>
      <c r="F5" s="213" t="s">
        <v>7</v>
      </c>
      <c r="G5" s="213" t="s">
        <v>8</v>
      </c>
      <c r="H5" s="213" t="s">
        <v>9</v>
      </c>
      <c r="I5" s="213" t="s">
        <v>10</v>
      </c>
      <c r="J5" s="213" t="s">
        <v>11</v>
      </c>
      <c r="K5" s="213" t="s">
        <v>12</v>
      </c>
      <c r="L5" s="214" t="s">
        <v>344</v>
      </c>
      <c r="M5" s="214" t="s">
        <v>345</v>
      </c>
      <c r="N5" s="213" t="s">
        <v>73</v>
      </c>
      <c r="O5" s="213" t="s">
        <v>13</v>
      </c>
      <c r="P5" s="590" t="s">
        <v>72</v>
      </c>
      <c r="Q5" s="591"/>
      <c r="R5" s="293"/>
      <c r="S5" s="309" t="s">
        <v>10</v>
      </c>
      <c r="T5" s="307" t="s">
        <v>10</v>
      </c>
      <c r="U5" s="310" t="s">
        <v>10</v>
      </c>
      <c r="V5" s="309" t="s">
        <v>10</v>
      </c>
      <c r="W5" s="307" t="s">
        <v>10</v>
      </c>
      <c r="X5" s="310" t="s">
        <v>10</v>
      </c>
      <c r="Y5" s="308"/>
      <c r="Z5" s="309" t="s">
        <v>13</v>
      </c>
      <c r="AA5" s="307" t="s">
        <v>13</v>
      </c>
      <c r="AB5" s="310" t="s">
        <v>13</v>
      </c>
    </row>
    <row r="6" spans="1:28" ht="14.25">
      <c r="A6" s="204"/>
      <c r="B6" s="215"/>
      <c r="C6" s="216" t="s">
        <v>14</v>
      </c>
      <c r="D6" s="217"/>
      <c r="E6" s="218" t="s">
        <v>15</v>
      </c>
      <c r="F6" s="218"/>
      <c r="G6" s="216" t="s">
        <v>16</v>
      </c>
      <c r="H6" s="218" t="s">
        <v>17</v>
      </c>
      <c r="I6" s="216" t="s">
        <v>261</v>
      </c>
      <c r="J6" s="218" t="s">
        <v>18</v>
      </c>
      <c r="K6" s="218" t="s">
        <v>17</v>
      </c>
      <c r="L6" s="216" t="s">
        <v>16</v>
      </c>
      <c r="M6" s="218" t="s">
        <v>47</v>
      </c>
      <c r="N6" s="218" t="s">
        <v>19</v>
      </c>
      <c r="O6" s="219" t="str">
        <f>"MAX=30"</f>
        <v>MAX=30</v>
      </c>
      <c r="P6" s="344"/>
      <c r="Q6" s="221"/>
      <c r="R6" s="294"/>
      <c r="S6" s="313" t="s">
        <v>20</v>
      </c>
      <c r="T6" s="311" t="s">
        <v>22</v>
      </c>
      <c r="U6" s="314" t="s">
        <v>21</v>
      </c>
      <c r="V6" s="313" t="s">
        <v>20</v>
      </c>
      <c r="W6" s="311" t="s">
        <v>22</v>
      </c>
      <c r="X6" s="314" t="s">
        <v>21</v>
      </c>
      <c r="Y6" s="312"/>
      <c r="Z6" s="313" t="s">
        <v>80</v>
      </c>
      <c r="AA6" s="311" t="s">
        <v>81</v>
      </c>
      <c r="AB6" s="314" t="s">
        <v>82</v>
      </c>
    </row>
    <row r="7" spans="1:28" ht="14.25">
      <c r="A7" s="204"/>
      <c r="B7" s="222">
        <v>1</v>
      </c>
      <c r="C7" s="223">
        <v>6714</v>
      </c>
      <c r="D7" s="224" t="str">
        <f t="shared" ref="D7:D20" si="0">IF(ISBLANK(C7),"",VLOOKUP(C7,各艇データ,2,FALSE))</f>
        <v>HAURAKI</v>
      </c>
      <c r="E7" s="225">
        <f t="shared" ref="E7:E20" si="1">IF($I$6="Ⅰ",S7,IF($I$6="Ⅱ",T7,IF($I$6="Ⅲ",U7,"")))</f>
        <v>8.94</v>
      </c>
      <c r="F7" s="226">
        <v>2</v>
      </c>
      <c r="G7" s="227">
        <v>0.50878472222222226</v>
      </c>
      <c r="H7" s="223">
        <f t="shared" ref="H7:H20" si="2">IFERROR(IF(G7-$Q$2&lt;=0,"",(G7-$Q$2)*86400),"")</f>
        <v>7959.0000000000018</v>
      </c>
      <c r="I7" s="228">
        <f t="shared" ref="I7:I20" si="3">IF($I$6="Ⅰ",V7,IF($I$6="Ⅱ",W7,IF($I$6="Ⅲ",X7,"")))</f>
        <v>583</v>
      </c>
      <c r="J7" s="225"/>
      <c r="K7" s="229">
        <f t="shared" ref="K7:K20" si="4">IFERROR(H7*(1+0.01*J7)-I7*$N$3,"")</f>
        <v>-1835.3999999999978</v>
      </c>
      <c r="L7" s="227">
        <f>IFERROR((K7-$K$7)/86400,"")</f>
        <v>0</v>
      </c>
      <c r="M7" s="230">
        <f t="shared" ref="M7:M17" si="5">IFERROR((K7-$K$7)/$N$3,"")</f>
        <v>0</v>
      </c>
      <c r="N7" s="231">
        <f t="shared" ref="N7:N17" si="6">IFERROR($N$3/(H7/3600),"")</f>
        <v>7.5989445910290225</v>
      </c>
      <c r="O7" s="232">
        <f>ROUND(IF($O$6="MAX=20",Z7,IF($O$6="MAX=30",AA7,IF($O$6="MAX=40",AB7,""))),1)</f>
        <v>30</v>
      </c>
      <c r="P7" s="345"/>
      <c r="Q7" s="234"/>
      <c r="R7" s="293"/>
      <c r="S7" s="316">
        <f t="shared" ref="S7:S31" si="7">IF(ISBLANK(C7),"",VLOOKUP(C7,各艇データ,3,FALSE))</f>
        <v>9.1300000000000008</v>
      </c>
      <c r="T7" s="317">
        <f t="shared" ref="T7:T31" si="8">IF(ISBLANK(C7),"",VLOOKUP(C7,各艇データ,4,FALSE))</f>
        <v>8.94</v>
      </c>
      <c r="U7" s="318">
        <f t="shared" ref="U7:U31" si="9">IF(ISBLANK(C7),"",VLOOKUP(C7,各艇データ,5,FALSE))</f>
        <v>8.64</v>
      </c>
      <c r="V7" s="319">
        <f t="shared" ref="V7:V31" si="10">IF(ISBLANK(C7),"",VLOOKUP(C7,各艇データ,6,FALSE))</f>
        <v>934.1</v>
      </c>
      <c r="W7" s="320">
        <f t="shared" ref="W7:W31" si="11">IF(ISBLANK(C7),"",VLOOKUP(C7,各艇データ,7,FALSE))</f>
        <v>583</v>
      </c>
      <c r="X7" s="321">
        <f t="shared" ref="X7:X31" si="12">IF(ISBLANK(C7),"",VLOOKUP(C7,各艇データ,8,FALSE))</f>
        <v>520.9</v>
      </c>
      <c r="Y7" s="308"/>
      <c r="Z7" s="322">
        <f t="shared" ref="Z7:Z31" si="13">IF(ISBLANK(B7),"",IFERROR(20*($P$3+1-$B7)/$P$3,"20.0"))</f>
        <v>20</v>
      </c>
      <c r="AA7" s="315">
        <f t="shared" ref="AA7:AA31" si="14">IF(ISBLANK(B7),"",IFERROR(30*($P$3+1-$B7)/$P$3,"30.0"))</f>
        <v>30</v>
      </c>
      <c r="AB7" s="323">
        <f t="shared" ref="AB7:AB31" si="15">IF(ISBLANK(B7),"",IFERROR(30*($P$3-$B7)/($P$3-1)+10,"20.0"))</f>
        <v>40</v>
      </c>
    </row>
    <row r="8" spans="1:28" ht="14.25">
      <c r="A8" s="204"/>
      <c r="B8" s="235">
        <v>2</v>
      </c>
      <c r="C8" s="236">
        <v>150</v>
      </c>
      <c r="D8" s="237" t="str">
        <f t="shared" si="0"/>
        <v>SHARK X</v>
      </c>
      <c r="E8" s="238">
        <f t="shared" si="1"/>
        <v>8.56</v>
      </c>
      <c r="F8" s="239">
        <v>6</v>
      </c>
      <c r="G8" s="240">
        <v>0.51244212962962965</v>
      </c>
      <c r="H8" s="236">
        <f t="shared" si="2"/>
        <v>8275</v>
      </c>
      <c r="I8" s="241">
        <f t="shared" si="3"/>
        <v>591.79999999999995</v>
      </c>
      <c r="J8" s="238"/>
      <c r="K8" s="242">
        <f t="shared" si="4"/>
        <v>-1667.2399999999998</v>
      </c>
      <c r="L8" s="240">
        <f>IFERROR((K8-$K$7)/86400,"")</f>
        <v>1.9462962962962735E-3</v>
      </c>
      <c r="M8" s="243">
        <f t="shared" si="5"/>
        <v>10.009523809523692</v>
      </c>
      <c r="N8" s="244">
        <f t="shared" si="6"/>
        <v>7.3087613293051357</v>
      </c>
      <c r="O8" s="245">
        <f t="shared" ref="O8:O17" si="16">ROUND(IF($O$6="MAX=20",Z8,IF($O$6="MAX=30",AA8,IF($O$6="MAX=40",AB8,""))),1)</f>
        <v>27.9</v>
      </c>
      <c r="P8" s="346"/>
      <c r="Q8" s="247"/>
      <c r="R8" s="293"/>
      <c r="S8" s="316">
        <f t="shared" si="7"/>
        <v>9.06</v>
      </c>
      <c r="T8" s="317">
        <f t="shared" si="8"/>
        <v>8.56</v>
      </c>
      <c r="U8" s="318">
        <f t="shared" si="9"/>
        <v>8.43</v>
      </c>
      <c r="V8" s="319">
        <f t="shared" si="10"/>
        <v>936.4</v>
      </c>
      <c r="W8" s="320">
        <f t="shared" si="11"/>
        <v>591.79999999999995</v>
      </c>
      <c r="X8" s="321">
        <f t="shared" si="12"/>
        <v>526.20000000000005</v>
      </c>
      <c r="Y8" s="308"/>
      <c r="Z8" s="322">
        <f t="shared" si="13"/>
        <v>18.571428571428573</v>
      </c>
      <c r="AA8" s="315">
        <f t="shared" si="14"/>
        <v>27.857142857142858</v>
      </c>
      <c r="AB8" s="323">
        <f t="shared" si="15"/>
        <v>37.692307692307693</v>
      </c>
    </row>
    <row r="9" spans="1:28" ht="14.25">
      <c r="A9" s="204"/>
      <c r="B9" s="235">
        <v>3</v>
      </c>
      <c r="C9" s="236">
        <v>5755</v>
      </c>
      <c r="D9" s="237" t="str">
        <f t="shared" si="0"/>
        <v>ランカ</v>
      </c>
      <c r="E9" s="238">
        <f t="shared" si="1"/>
        <v>8.1</v>
      </c>
      <c r="F9" s="239">
        <v>9</v>
      </c>
      <c r="G9" s="240">
        <v>0.51594907407407409</v>
      </c>
      <c r="H9" s="236">
        <f t="shared" si="2"/>
        <v>8578</v>
      </c>
      <c r="I9" s="241">
        <f t="shared" si="3"/>
        <v>603.6</v>
      </c>
      <c r="J9" s="238"/>
      <c r="K9" s="242">
        <f t="shared" si="4"/>
        <v>-1562.4800000000014</v>
      </c>
      <c r="L9" s="240">
        <f t="shared" ref="L9:L17" si="17">IFERROR((K9-$K$7)/86400,"")</f>
        <v>3.1587962962962551E-3</v>
      </c>
      <c r="M9" s="243">
        <f t="shared" si="5"/>
        <v>16.245238095237884</v>
      </c>
      <c r="N9" s="244">
        <f t="shared" si="6"/>
        <v>7.0505945441827942</v>
      </c>
      <c r="O9" s="245">
        <f t="shared" si="16"/>
        <v>25.7</v>
      </c>
      <c r="P9" s="346"/>
      <c r="Q9" s="247"/>
      <c r="R9" s="293"/>
      <c r="S9" s="316">
        <f t="shared" si="7"/>
        <v>8.25</v>
      </c>
      <c r="T9" s="317">
        <f t="shared" si="8"/>
        <v>8.1</v>
      </c>
      <c r="U9" s="318">
        <f t="shared" si="9"/>
        <v>8.11</v>
      </c>
      <c r="V9" s="319">
        <f t="shared" si="10"/>
        <v>966.8</v>
      </c>
      <c r="W9" s="320">
        <f t="shared" si="11"/>
        <v>603.6</v>
      </c>
      <c r="X9" s="321">
        <f t="shared" si="12"/>
        <v>534.5</v>
      </c>
      <c r="Y9" s="308"/>
      <c r="Z9" s="322">
        <f t="shared" si="13"/>
        <v>17.142857142857142</v>
      </c>
      <c r="AA9" s="315">
        <f t="shared" si="14"/>
        <v>25.714285714285715</v>
      </c>
      <c r="AB9" s="323">
        <f t="shared" si="15"/>
        <v>35.384615384615387</v>
      </c>
    </row>
    <row r="10" spans="1:28" ht="14.25">
      <c r="A10" s="204"/>
      <c r="B10" s="235">
        <v>4</v>
      </c>
      <c r="C10" s="236">
        <v>199</v>
      </c>
      <c r="D10" s="237" t="str">
        <f t="shared" si="0"/>
        <v>サ－モン4</v>
      </c>
      <c r="E10" s="238">
        <f t="shared" si="1"/>
        <v>9.15</v>
      </c>
      <c r="F10" s="239">
        <v>5</v>
      </c>
      <c r="G10" s="240">
        <v>0.5118287037037037</v>
      </c>
      <c r="H10" s="236">
        <f t="shared" si="2"/>
        <v>8221.9999999999982</v>
      </c>
      <c r="I10" s="241">
        <f t="shared" si="3"/>
        <v>578.20000000000005</v>
      </c>
      <c r="J10" s="238"/>
      <c r="K10" s="242">
        <f t="shared" si="4"/>
        <v>-1491.7600000000039</v>
      </c>
      <c r="L10" s="240">
        <f t="shared" si="17"/>
        <v>3.9773148148147452E-3</v>
      </c>
      <c r="M10" s="243">
        <f t="shared" si="5"/>
        <v>20.454761904761543</v>
      </c>
      <c r="N10" s="244">
        <f t="shared" si="6"/>
        <v>7.3558744830941398</v>
      </c>
      <c r="O10" s="245">
        <f t="shared" si="16"/>
        <v>23.6</v>
      </c>
      <c r="P10" s="346"/>
      <c r="Q10" s="247"/>
      <c r="R10" s="293"/>
      <c r="S10" s="316">
        <f t="shared" si="7"/>
        <v>9.24</v>
      </c>
      <c r="T10" s="317">
        <f t="shared" si="8"/>
        <v>9.15</v>
      </c>
      <c r="U10" s="318">
        <f t="shared" si="9"/>
        <v>9.1</v>
      </c>
      <c r="V10" s="319">
        <f t="shared" si="10"/>
        <v>930.3</v>
      </c>
      <c r="W10" s="320">
        <f t="shared" si="11"/>
        <v>578.20000000000005</v>
      </c>
      <c r="X10" s="321">
        <f t="shared" si="12"/>
        <v>509.9</v>
      </c>
      <c r="Y10" s="308"/>
      <c r="Z10" s="322">
        <f t="shared" si="13"/>
        <v>15.714285714285714</v>
      </c>
      <c r="AA10" s="315">
        <f t="shared" si="14"/>
        <v>23.571428571428573</v>
      </c>
      <c r="AB10" s="323">
        <f t="shared" si="15"/>
        <v>33.07692307692308</v>
      </c>
    </row>
    <row r="11" spans="1:28" ht="14.25">
      <c r="A11" s="204"/>
      <c r="B11" s="248">
        <v>5</v>
      </c>
      <c r="C11" s="249">
        <v>5752</v>
      </c>
      <c r="D11" s="250" t="str">
        <f t="shared" si="0"/>
        <v>アルファ</v>
      </c>
      <c r="E11" s="251">
        <f t="shared" si="1"/>
        <v>10.18</v>
      </c>
      <c r="F11" s="252">
        <v>1</v>
      </c>
      <c r="G11" s="253">
        <v>0.50780092592592596</v>
      </c>
      <c r="H11" s="254">
        <f t="shared" si="2"/>
        <v>7874.0000000000018</v>
      </c>
      <c r="I11" s="255">
        <f t="shared" si="3"/>
        <v>557</v>
      </c>
      <c r="J11" s="256"/>
      <c r="K11" s="257">
        <f t="shared" si="4"/>
        <v>-1483.5999999999985</v>
      </c>
      <c r="L11" s="258">
        <f t="shared" si="17"/>
        <v>4.0717592592592507E-3</v>
      </c>
      <c r="M11" s="259">
        <f t="shared" si="5"/>
        <v>20.940476190476147</v>
      </c>
      <c r="N11" s="260">
        <f t="shared" si="6"/>
        <v>7.6809753619507228</v>
      </c>
      <c r="O11" s="261">
        <f t="shared" si="16"/>
        <v>21.4</v>
      </c>
      <c r="P11" s="347"/>
      <c r="Q11" s="263"/>
      <c r="R11" s="293"/>
      <c r="S11" s="316">
        <f t="shared" si="7"/>
        <v>10.72</v>
      </c>
      <c r="T11" s="317">
        <f t="shared" si="8"/>
        <v>10.18</v>
      </c>
      <c r="U11" s="318">
        <f t="shared" si="9"/>
        <v>9.92</v>
      </c>
      <c r="V11" s="319">
        <f t="shared" si="10"/>
        <v>884.3</v>
      </c>
      <c r="W11" s="320">
        <f t="shared" si="11"/>
        <v>557</v>
      </c>
      <c r="X11" s="321">
        <f t="shared" si="12"/>
        <v>492.1</v>
      </c>
      <c r="Y11" s="308"/>
      <c r="Z11" s="322">
        <f t="shared" si="13"/>
        <v>14.285714285714286</v>
      </c>
      <c r="AA11" s="315">
        <f t="shared" si="14"/>
        <v>21.428571428571427</v>
      </c>
      <c r="AB11" s="323">
        <f t="shared" si="15"/>
        <v>30.76923076923077</v>
      </c>
    </row>
    <row r="12" spans="1:28" ht="14.25">
      <c r="A12" s="204"/>
      <c r="B12" s="222">
        <v>6</v>
      </c>
      <c r="C12" s="223">
        <v>131</v>
      </c>
      <c r="D12" s="224" t="str">
        <f t="shared" si="0"/>
        <v>ふるたか</v>
      </c>
      <c r="E12" s="225">
        <f t="shared" si="1"/>
        <v>8.31</v>
      </c>
      <c r="F12" s="226">
        <v>10</v>
      </c>
      <c r="G12" s="227">
        <v>0.51601851851851854</v>
      </c>
      <c r="H12" s="223">
        <f t="shared" si="2"/>
        <v>8584</v>
      </c>
      <c r="I12" s="228">
        <f t="shared" si="3"/>
        <v>598.20000000000005</v>
      </c>
      <c r="J12" s="225"/>
      <c r="K12" s="229">
        <f t="shared" si="4"/>
        <v>-1465.760000000002</v>
      </c>
      <c r="L12" s="227">
        <f t="shared" si="17"/>
        <v>4.2782407407406919E-3</v>
      </c>
      <c r="M12" s="230">
        <f t="shared" si="5"/>
        <v>22.002380952380701</v>
      </c>
      <c r="N12" s="231">
        <f t="shared" si="6"/>
        <v>7.0456663560111839</v>
      </c>
      <c r="O12" s="232">
        <f t="shared" si="16"/>
        <v>19.3</v>
      </c>
      <c r="P12" s="346"/>
      <c r="Q12" s="234"/>
      <c r="R12" s="293"/>
      <c r="S12" s="316">
        <f t="shared" si="7"/>
        <v>8.2899999999999991</v>
      </c>
      <c r="T12" s="317">
        <f t="shared" si="8"/>
        <v>8.31</v>
      </c>
      <c r="U12" s="318">
        <f t="shared" si="9"/>
        <v>8.0500000000000007</v>
      </c>
      <c r="V12" s="319">
        <f t="shared" si="10"/>
        <v>965.1</v>
      </c>
      <c r="W12" s="320">
        <f t="shared" si="11"/>
        <v>598.20000000000005</v>
      </c>
      <c r="X12" s="321">
        <f t="shared" si="12"/>
        <v>536.29999999999995</v>
      </c>
      <c r="Y12" s="308"/>
      <c r="Z12" s="322">
        <f t="shared" si="13"/>
        <v>12.857142857142858</v>
      </c>
      <c r="AA12" s="315">
        <f t="shared" si="14"/>
        <v>19.285714285714285</v>
      </c>
      <c r="AB12" s="323">
        <f t="shared" si="15"/>
        <v>28.46153846153846</v>
      </c>
    </row>
    <row r="13" spans="1:28" ht="14.25">
      <c r="A13" s="204"/>
      <c r="B13" s="235">
        <v>7</v>
      </c>
      <c r="C13" s="236">
        <v>346</v>
      </c>
      <c r="D13" s="237" t="str">
        <f t="shared" si="0"/>
        <v>飛車角</v>
      </c>
      <c r="E13" s="238">
        <f t="shared" si="1"/>
        <v>8.58</v>
      </c>
      <c r="F13" s="239">
        <v>7</v>
      </c>
      <c r="G13" s="240">
        <v>0.51506944444444447</v>
      </c>
      <c r="H13" s="236">
        <f t="shared" si="2"/>
        <v>8502</v>
      </c>
      <c r="I13" s="241">
        <f t="shared" si="3"/>
        <v>591.5</v>
      </c>
      <c r="J13" s="238"/>
      <c r="K13" s="242">
        <f t="shared" si="4"/>
        <v>-1435.2000000000007</v>
      </c>
      <c r="L13" s="240">
        <f t="shared" si="17"/>
        <v>4.6319444444444108E-3</v>
      </c>
      <c r="M13" s="243">
        <f t="shared" si="5"/>
        <v>23.821428571428399</v>
      </c>
      <c r="N13" s="244">
        <f t="shared" si="6"/>
        <v>7.1136203246294984</v>
      </c>
      <c r="O13" s="245">
        <f t="shared" si="16"/>
        <v>17.100000000000001</v>
      </c>
      <c r="P13" s="346"/>
      <c r="Q13" s="247"/>
      <c r="R13" s="293"/>
      <c r="S13" s="316">
        <f t="shared" si="7"/>
        <v>8.61</v>
      </c>
      <c r="T13" s="317">
        <f t="shared" si="8"/>
        <v>8.58</v>
      </c>
      <c r="U13" s="318">
        <f t="shared" si="9"/>
        <v>8.68</v>
      </c>
      <c r="V13" s="319">
        <f t="shared" si="10"/>
        <v>952.6</v>
      </c>
      <c r="W13" s="320">
        <f t="shared" si="11"/>
        <v>591.5</v>
      </c>
      <c r="X13" s="321">
        <f t="shared" si="12"/>
        <v>519.79999999999995</v>
      </c>
      <c r="Y13" s="308"/>
      <c r="Z13" s="322">
        <f t="shared" si="13"/>
        <v>11.428571428571429</v>
      </c>
      <c r="AA13" s="315">
        <f t="shared" si="14"/>
        <v>17.142857142857142</v>
      </c>
      <c r="AB13" s="323">
        <f t="shared" si="15"/>
        <v>26.153846153846153</v>
      </c>
    </row>
    <row r="14" spans="1:28" ht="14.25">
      <c r="A14" s="204"/>
      <c r="B14" s="235">
        <v>8</v>
      </c>
      <c r="C14" s="236">
        <v>1733</v>
      </c>
      <c r="D14" s="237" t="str">
        <f t="shared" si="0"/>
        <v>ケロニア</v>
      </c>
      <c r="E14" s="238">
        <f t="shared" si="1"/>
        <v>9.44</v>
      </c>
      <c r="F14" s="239">
        <v>4</v>
      </c>
      <c r="G14" s="240">
        <v>0.5116087962962963</v>
      </c>
      <c r="H14" s="236">
        <f t="shared" si="2"/>
        <v>8202.9999999999982</v>
      </c>
      <c r="I14" s="241">
        <f t="shared" si="3"/>
        <v>572.1</v>
      </c>
      <c r="J14" s="238"/>
      <c r="K14" s="242">
        <f t="shared" si="4"/>
        <v>-1408.2800000000025</v>
      </c>
      <c r="L14" s="240">
        <f t="shared" si="17"/>
        <v>4.9435185185184643E-3</v>
      </c>
      <c r="M14" s="243">
        <f t="shared" si="5"/>
        <v>25.423809523809247</v>
      </c>
      <c r="N14" s="244">
        <f t="shared" si="6"/>
        <v>7.3729123491405604</v>
      </c>
      <c r="O14" s="245">
        <f t="shared" si="16"/>
        <v>15</v>
      </c>
      <c r="P14" s="246"/>
      <c r="Q14" s="247"/>
      <c r="R14" s="293"/>
      <c r="S14" s="316">
        <f t="shared" si="7"/>
        <v>9.67</v>
      </c>
      <c r="T14" s="317">
        <f t="shared" si="8"/>
        <v>9.44</v>
      </c>
      <c r="U14" s="318">
        <f t="shared" si="9"/>
        <v>9.35</v>
      </c>
      <c r="V14" s="319">
        <f t="shared" si="10"/>
        <v>915.7</v>
      </c>
      <c r="W14" s="320">
        <f t="shared" si="11"/>
        <v>572.1</v>
      </c>
      <c r="X14" s="321">
        <f t="shared" si="12"/>
        <v>504.3</v>
      </c>
      <c r="Y14" s="308"/>
      <c r="Z14" s="322">
        <f t="shared" si="13"/>
        <v>10</v>
      </c>
      <c r="AA14" s="315">
        <f t="shared" si="14"/>
        <v>15</v>
      </c>
      <c r="AB14" s="323">
        <f t="shared" si="15"/>
        <v>23.846153846153847</v>
      </c>
    </row>
    <row r="15" spans="1:28" ht="14.25">
      <c r="A15" s="204"/>
      <c r="B15" s="235">
        <v>9</v>
      </c>
      <c r="C15" s="236">
        <v>1611</v>
      </c>
      <c r="D15" s="237" t="str">
        <f t="shared" si="0"/>
        <v>ﾈﾌﾟﾁｭｰﾝXⅡ</v>
      </c>
      <c r="E15" s="238">
        <f t="shared" si="1"/>
        <v>8.15</v>
      </c>
      <c r="F15" s="239">
        <v>11</v>
      </c>
      <c r="G15" s="240">
        <v>0.51793981481481477</v>
      </c>
      <c r="H15" s="236">
        <f t="shared" si="2"/>
        <v>8749.9999999999945</v>
      </c>
      <c r="I15" s="241">
        <f t="shared" si="3"/>
        <v>602.20000000000005</v>
      </c>
      <c r="J15" s="238"/>
      <c r="K15" s="242">
        <f t="shared" si="4"/>
        <v>-1366.9600000000064</v>
      </c>
      <c r="L15" s="240">
        <f t="shared" si="17"/>
        <v>5.4217592592591601E-3</v>
      </c>
      <c r="M15" s="243">
        <f t="shared" si="5"/>
        <v>27.883333333332821</v>
      </c>
      <c r="N15" s="244">
        <f t="shared" si="6"/>
        <v>6.9120000000000044</v>
      </c>
      <c r="O15" s="245">
        <f t="shared" si="16"/>
        <v>12.9</v>
      </c>
      <c r="P15" s="246"/>
      <c r="Q15" s="247"/>
      <c r="R15" s="293"/>
      <c r="S15" s="316">
        <f t="shared" si="7"/>
        <v>8.2100000000000009</v>
      </c>
      <c r="T15" s="317">
        <f t="shared" si="8"/>
        <v>8.15</v>
      </c>
      <c r="U15" s="318">
        <f t="shared" si="9"/>
        <v>7.98</v>
      </c>
      <c r="V15" s="319">
        <f t="shared" si="10"/>
        <v>968.4</v>
      </c>
      <c r="W15" s="320">
        <f t="shared" si="11"/>
        <v>602.20000000000005</v>
      </c>
      <c r="X15" s="321">
        <f t="shared" si="12"/>
        <v>538.1</v>
      </c>
      <c r="Y15" s="308"/>
      <c r="Z15" s="322">
        <f t="shared" si="13"/>
        <v>8.5714285714285712</v>
      </c>
      <c r="AA15" s="315">
        <f t="shared" si="14"/>
        <v>12.857142857142858</v>
      </c>
      <c r="AB15" s="323">
        <f t="shared" si="15"/>
        <v>21.53846153846154</v>
      </c>
    </row>
    <row r="16" spans="1:28" ht="14.25">
      <c r="A16" s="204"/>
      <c r="B16" s="248">
        <v>10</v>
      </c>
      <c r="C16" s="249">
        <v>162</v>
      </c>
      <c r="D16" s="250" t="str">
        <f t="shared" si="0"/>
        <v>ﾌｪﾆｯｸｽ</v>
      </c>
      <c r="E16" s="251">
        <f t="shared" si="1"/>
        <v>6.84</v>
      </c>
      <c r="F16" s="252">
        <v>13</v>
      </c>
      <c r="G16" s="253">
        <v>0.52587962962962964</v>
      </c>
      <c r="H16" s="249">
        <f t="shared" si="2"/>
        <v>9436</v>
      </c>
      <c r="I16" s="265">
        <f t="shared" si="3"/>
        <v>640.4</v>
      </c>
      <c r="J16" s="251"/>
      <c r="K16" s="267">
        <f t="shared" si="4"/>
        <v>-1322.7199999999993</v>
      </c>
      <c r="L16" s="253">
        <f t="shared" si="17"/>
        <v>5.933796296296279E-3</v>
      </c>
      <c r="M16" s="268">
        <f t="shared" si="5"/>
        <v>30.516666666666573</v>
      </c>
      <c r="N16" s="269">
        <f t="shared" si="6"/>
        <v>6.4094955489614254</v>
      </c>
      <c r="O16" s="270">
        <f t="shared" si="16"/>
        <v>10.7</v>
      </c>
      <c r="P16" s="262"/>
      <c r="Q16" s="263"/>
      <c r="R16" s="293"/>
      <c r="S16" s="316">
        <f t="shared" si="7"/>
        <v>6.96</v>
      </c>
      <c r="T16" s="317">
        <f t="shared" si="8"/>
        <v>6.84</v>
      </c>
      <c r="U16" s="318">
        <f t="shared" si="9"/>
        <v>6.95</v>
      </c>
      <c r="V16" s="319">
        <f t="shared" si="10"/>
        <v>1024.3</v>
      </c>
      <c r="W16" s="320">
        <f t="shared" si="11"/>
        <v>640.4</v>
      </c>
      <c r="X16" s="321">
        <f t="shared" si="12"/>
        <v>569.4</v>
      </c>
      <c r="Y16" s="308"/>
      <c r="Z16" s="322">
        <f t="shared" si="13"/>
        <v>7.1428571428571432</v>
      </c>
      <c r="AA16" s="315">
        <f t="shared" si="14"/>
        <v>10.714285714285714</v>
      </c>
      <c r="AB16" s="323">
        <f t="shared" si="15"/>
        <v>19.23076923076923</v>
      </c>
    </row>
    <row r="17" spans="1:28" ht="14.25">
      <c r="A17" s="204"/>
      <c r="B17" s="222">
        <v>11</v>
      </c>
      <c r="C17" s="223">
        <v>380</v>
      </c>
      <c r="D17" s="224" t="str">
        <f t="shared" si="0"/>
        <v>テティス</v>
      </c>
      <c r="E17" s="225">
        <f t="shared" si="1"/>
        <v>10.23</v>
      </c>
      <c r="F17" s="226">
        <v>3</v>
      </c>
      <c r="G17" s="227">
        <v>0.50976851851851845</v>
      </c>
      <c r="H17" s="271">
        <f t="shared" si="2"/>
        <v>8043.9999999999927</v>
      </c>
      <c r="I17" s="272">
        <f t="shared" si="3"/>
        <v>556.20000000000005</v>
      </c>
      <c r="J17" s="273"/>
      <c r="K17" s="274">
        <f t="shared" si="4"/>
        <v>-1300.1600000000089</v>
      </c>
      <c r="L17" s="275">
        <f t="shared" si="17"/>
        <v>6.1949074074072784E-3</v>
      </c>
      <c r="M17" s="276">
        <f t="shared" si="5"/>
        <v>31.859523809523147</v>
      </c>
      <c r="N17" s="277">
        <f t="shared" si="6"/>
        <v>7.5186474390850391</v>
      </c>
      <c r="O17" s="278">
        <f t="shared" si="16"/>
        <v>8.6</v>
      </c>
      <c r="P17" s="348"/>
      <c r="Q17" s="234"/>
      <c r="R17" s="293"/>
      <c r="S17" s="316">
        <f t="shared" si="7"/>
        <v>10.44</v>
      </c>
      <c r="T17" s="317">
        <f t="shared" si="8"/>
        <v>10.23</v>
      </c>
      <c r="U17" s="318">
        <f t="shared" si="9"/>
        <v>9.94</v>
      </c>
      <c r="V17" s="319">
        <f t="shared" si="10"/>
        <v>892.3</v>
      </c>
      <c r="W17" s="320">
        <f t="shared" si="11"/>
        <v>556.20000000000005</v>
      </c>
      <c r="X17" s="321">
        <f t="shared" si="12"/>
        <v>491.8</v>
      </c>
      <c r="Y17" s="308"/>
      <c r="Z17" s="322">
        <f t="shared" si="13"/>
        <v>5.7142857142857144</v>
      </c>
      <c r="AA17" s="315">
        <f t="shared" si="14"/>
        <v>8.5714285714285712</v>
      </c>
      <c r="AB17" s="323">
        <f t="shared" si="15"/>
        <v>16.923076923076923</v>
      </c>
    </row>
    <row r="18" spans="1:28" ht="14.25">
      <c r="A18" s="204"/>
      <c r="B18" s="235">
        <v>12</v>
      </c>
      <c r="C18" s="236">
        <v>312</v>
      </c>
      <c r="D18" s="237" t="str">
        <f t="shared" si="0"/>
        <v>はやとり</v>
      </c>
      <c r="E18" s="238">
        <f t="shared" si="1"/>
        <v>8.2200000000000006</v>
      </c>
      <c r="F18" s="239">
        <v>12</v>
      </c>
      <c r="G18" s="240">
        <v>0.52020833333333327</v>
      </c>
      <c r="H18" s="236">
        <f t="shared" si="2"/>
        <v>8945.9999999999927</v>
      </c>
      <c r="I18" s="241">
        <f t="shared" si="3"/>
        <v>600.29999999999995</v>
      </c>
      <c r="J18" s="238"/>
      <c r="K18" s="242">
        <f t="shared" si="4"/>
        <v>-1139.0400000000063</v>
      </c>
      <c r="L18" s="240">
        <f t="shared" ref="L18:L20" si="18">IFERROR((K18-$K$7)/86400,"")</f>
        <v>8.0597222222221244E-3</v>
      </c>
      <c r="M18" s="243">
        <f t="shared" ref="M18:M20" si="19">IFERROR((K18-$K$7)/$N$3,"")</f>
        <v>41.449999999999491</v>
      </c>
      <c r="N18" s="244">
        <f t="shared" ref="N18:N20" si="20">IFERROR($N$3/(H18/3600),"")</f>
        <v>6.7605633802816953</v>
      </c>
      <c r="O18" s="245">
        <f t="shared" ref="O18:O20" si="21">ROUND(IF($O$6="MAX=20",Z18,IF($O$6="MAX=30",AA18,IF($O$6="MAX=40",AB18,""))),1)</f>
        <v>6.4</v>
      </c>
      <c r="P18" s="246"/>
      <c r="Q18" s="247"/>
      <c r="R18" s="293"/>
      <c r="S18" s="316">
        <f t="shared" si="7"/>
        <v>8.31</v>
      </c>
      <c r="T18" s="317">
        <f t="shared" si="8"/>
        <v>8.2200000000000006</v>
      </c>
      <c r="U18" s="318">
        <f t="shared" si="9"/>
        <v>8.1300000000000008</v>
      </c>
      <c r="V18" s="319">
        <f t="shared" si="10"/>
        <v>964.4</v>
      </c>
      <c r="W18" s="320">
        <f t="shared" si="11"/>
        <v>600.29999999999995</v>
      </c>
      <c r="X18" s="321">
        <f t="shared" si="12"/>
        <v>534</v>
      </c>
      <c r="Y18" s="308"/>
      <c r="Z18" s="322">
        <f t="shared" si="13"/>
        <v>4.2857142857142856</v>
      </c>
      <c r="AA18" s="315">
        <f t="shared" si="14"/>
        <v>6.4285714285714288</v>
      </c>
      <c r="AB18" s="323">
        <f t="shared" si="15"/>
        <v>14.615384615384615</v>
      </c>
    </row>
    <row r="19" spans="1:28" ht="14.25">
      <c r="A19" s="204"/>
      <c r="B19" s="235">
        <v>13</v>
      </c>
      <c r="C19" s="236">
        <v>2759</v>
      </c>
      <c r="D19" s="237" t="str">
        <f t="shared" si="0"/>
        <v>イクソラⅢ</v>
      </c>
      <c r="E19" s="238">
        <f t="shared" si="1"/>
        <v>6.67</v>
      </c>
      <c r="F19" s="239">
        <v>14</v>
      </c>
      <c r="G19" s="240">
        <v>0.52924768518518517</v>
      </c>
      <c r="H19" s="236">
        <f t="shared" si="2"/>
        <v>9726.9999999999964</v>
      </c>
      <c r="I19" s="241">
        <f t="shared" si="3"/>
        <v>646</v>
      </c>
      <c r="J19" s="238"/>
      <c r="K19" s="242">
        <f t="shared" si="4"/>
        <v>-1125.8000000000047</v>
      </c>
      <c r="L19" s="240">
        <f t="shared" si="18"/>
        <v>8.2129629629628838E-3</v>
      </c>
      <c r="M19" s="243">
        <f t="shared" si="19"/>
        <v>42.238095238094822</v>
      </c>
      <c r="N19" s="244">
        <f t="shared" si="20"/>
        <v>6.2177444227408269</v>
      </c>
      <c r="O19" s="245">
        <f t="shared" si="21"/>
        <v>4.3</v>
      </c>
      <c r="P19" s="246"/>
      <c r="Q19" s="247"/>
      <c r="R19" s="293"/>
      <c r="S19" s="316">
        <f t="shared" si="7"/>
        <v>6.75</v>
      </c>
      <c r="T19" s="317">
        <f t="shared" si="8"/>
        <v>6.67</v>
      </c>
      <c r="U19" s="318">
        <f t="shared" si="9"/>
        <v>6.68</v>
      </c>
      <c r="V19" s="319">
        <f t="shared" si="10"/>
        <v>1034.8</v>
      </c>
      <c r="W19" s="320">
        <f t="shared" si="11"/>
        <v>646</v>
      </c>
      <c r="X19" s="321">
        <f t="shared" si="12"/>
        <v>578.79999999999995</v>
      </c>
      <c r="Y19" s="308"/>
      <c r="Z19" s="322">
        <f t="shared" si="13"/>
        <v>2.8571428571428572</v>
      </c>
      <c r="AA19" s="315">
        <f t="shared" si="14"/>
        <v>4.2857142857142856</v>
      </c>
      <c r="AB19" s="323">
        <f t="shared" si="15"/>
        <v>12.307692307692307</v>
      </c>
    </row>
    <row r="20" spans="1:28" ht="14.25">
      <c r="A20" s="204"/>
      <c r="B20" s="235">
        <v>14</v>
      </c>
      <c r="C20" s="236">
        <v>321</v>
      </c>
      <c r="D20" s="237" t="str">
        <f t="shared" si="0"/>
        <v>かまくら</v>
      </c>
      <c r="E20" s="238">
        <f t="shared" si="1"/>
        <v>9.51</v>
      </c>
      <c r="F20" s="239">
        <v>8</v>
      </c>
      <c r="G20" s="240">
        <v>0.51568287037037031</v>
      </c>
      <c r="H20" s="236">
        <f t="shared" si="2"/>
        <v>8554.9999999999927</v>
      </c>
      <c r="I20" s="241">
        <f t="shared" si="3"/>
        <v>570.5</v>
      </c>
      <c r="J20" s="238"/>
      <c r="K20" s="242">
        <f t="shared" si="4"/>
        <v>-1029.4000000000069</v>
      </c>
      <c r="L20" s="240">
        <f t="shared" si="18"/>
        <v>9.3287037037035978E-3</v>
      </c>
      <c r="M20" s="243">
        <f t="shared" si="19"/>
        <v>47.976190476189934</v>
      </c>
      <c r="N20" s="244">
        <f t="shared" si="20"/>
        <v>7.0695499707773291</v>
      </c>
      <c r="O20" s="245">
        <f t="shared" si="21"/>
        <v>2.1</v>
      </c>
      <c r="P20" s="349"/>
      <c r="Q20" s="247"/>
      <c r="R20" s="293"/>
      <c r="S20" s="316">
        <f t="shared" si="7"/>
        <v>10.15</v>
      </c>
      <c r="T20" s="317">
        <f t="shared" si="8"/>
        <v>9.51</v>
      </c>
      <c r="U20" s="318">
        <f t="shared" si="9"/>
        <v>9.44</v>
      </c>
      <c r="V20" s="319">
        <f t="shared" si="10"/>
        <v>900.8</v>
      </c>
      <c r="W20" s="320">
        <f t="shared" si="11"/>
        <v>570.5</v>
      </c>
      <c r="X20" s="321">
        <f t="shared" si="12"/>
        <v>502.2</v>
      </c>
      <c r="Y20" s="308"/>
      <c r="Z20" s="322">
        <f t="shared" si="13"/>
        <v>1.4285714285714286</v>
      </c>
      <c r="AA20" s="315">
        <f t="shared" si="14"/>
        <v>2.1428571428571428</v>
      </c>
      <c r="AB20" s="323">
        <f t="shared" si="15"/>
        <v>10</v>
      </c>
    </row>
    <row r="21" spans="1:28" ht="14.25">
      <c r="A21" s="204"/>
      <c r="B21" s="248"/>
      <c r="C21" s="350"/>
      <c r="D21" s="237" t="str">
        <f t="shared" ref="D21" si="22">IF(ISBLANK(C21),"",VLOOKUP(C21,各艇データ,2,FALSE))</f>
        <v/>
      </c>
      <c r="E21" s="251" t="str">
        <f t="shared" ref="E21:E23" si="23">IF($I$6="Ⅰ",S21,IF($I$6="Ⅱ",T21,IF($I$6="Ⅲ",U21,"")))</f>
        <v/>
      </c>
      <c r="F21" s="252"/>
      <c r="G21" s="253"/>
      <c r="H21" s="249" t="str">
        <f t="shared" ref="H21" si="24">IFERROR(IF(G21-$Q$2&lt;=0,"",(G21-$Q$2)*86400),"")</f>
        <v/>
      </c>
      <c r="I21" s="265" t="str">
        <f t="shared" ref="I21:I23" si="25">IF($I$6="Ⅰ",V21,IF($I$6="Ⅱ",W21,IF($I$6="Ⅲ",X21,"")))</f>
        <v/>
      </c>
      <c r="J21" s="251"/>
      <c r="K21" s="267" t="str">
        <f t="shared" ref="K21" si="26">IFERROR(H21*(1+0.01*J21)-I21*$N$3,"")</f>
        <v/>
      </c>
      <c r="L21" s="253" t="str">
        <f>IFERROR((K21-$K$7)/86400,"")</f>
        <v/>
      </c>
      <c r="M21" s="268" t="str">
        <f>IFERROR((K21-$K$7)/$N$3,"")</f>
        <v/>
      </c>
      <c r="N21" s="269"/>
      <c r="O21" s="270"/>
      <c r="P21" s="333"/>
      <c r="Q21" s="263"/>
      <c r="R21" s="293"/>
      <c r="S21" s="316" t="str">
        <f t="shared" si="7"/>
        <v/>
      </c>
      <c r="T21" s="317" t="str">
        <f t="shared" si="8"/>
        <v/>
      </c>
      <c r="U21" s="318" t="str">
        <f t="shared" si="9"/>
        <v/>
      </c>
      <c r="V21" s="319" t="str">
        <f t="shared" si="10"/>
        <v/>
      </c>
      <c r="W21" s="320" t="str">
        <f t="shared" si="11"/>
        <v/>
      </c>
      <c r="X21" s="321" t="str">
        <f t="shared" si="12"/>
        <v/>
      </c>
      <c r="Y21" s="308"/>
      <c r="Z21" s="322" t="str">
        <f t="shared" si="13"/>
        <v/>
      </c>
      <c r="AA21" s="315" t="str">
        <f t="shared" si="14"/>
        <v/>
      </c>
      <c r="AB21" s="323" t="str">
        <f t="shared" si="15"/>
        <v/>
      </c>
    </row>
    <row r="22" spans="1:28" ht="14.25">
      <c r="A22" s="204"/>
      <c r="B22" s="279"/>
      <c r="C22" s="271"/>
      <c r="D22" s="224" t="str">
        <f t="shared" ref="D22" si="27">IF(ISBLANK(C22),"",VLOOKUP(C22,各艇データ,2,FALSE))</f>
        <v/>
      </c>
      <c r="E22" s="225" t="str">
        <f t="shared" si="23"/>
        <v/>
      </c>
      <c r="F22" s="226"/>
      <c r="G22" s="275"/>
      <c r="H22" s="271" t="str">
        <f t="shared" ref="H22:H23" si="28">IFERROR(IF(G22-$Q$2&lt;=0,"",(G22-$Q$2)*86400),"")</f>
        <v/>
      </c>
      <c r="I22" s="272" t="str">
        <f t="shared" si="25"/>
        <v/>
      </c>
      <c r="J22" s="273"/>
      <c r="K22" s="274" t="str">
        <f t="shared" ref="K22:K23" si="29">IFERROR(H22*(1+0.01*J22)-I22*$N$3,"")</f>
        <v/>
      </c>
      <c r="L22" s="275" t="str">
        <f>IFERROR((K22-$K$7)/86400,"")</f>
        <v/>
      </c>
      <c r="M22" s="276" t="str">
        <f>IFERROR((K22-$K$7)/$N$3,"")</f>
        <v/>
      </c>
      <c r="N22" s="277"/>
      <c r="O22" s="232"/>
      <c r="P22" s="286"/>
      <c r="Q22" s="280"/>
      <c r="R22" s="293"/>
      <c r="S22" s="316" t="str">
        <f t="shared" si="7"/>
        <v/>
      </c>
      <c r="T22" s="317" t="str">
        <f t="shared" si="8"/>
        <v/>
      </c>
      <c r="U22" s="318" t="str">
        <f t="shared" si="9"/>
        <v/>
      </c>
      <c r="V22" s="319" t="str">
        <f t="shared" si="10"/>
        <v/>
      </c>
      <c r="W22" s="320" t="str">
        <f t="shared" si="11"/>
        <v/>
      </c>
      <c r="X22" s="321" t="str">
        <f t="shared" si="12"/>
        <v/>
      </c>
      <c r="Y22" s="308"/>
      <c r="Z22" s="322" t="str">
        <f t="shared" si="13"/>
        <v/>
      </c>
      <c r="AA22" s="315" t="str">
        <f t="shared" si="14"/>
        <v/>
      </c>
      <c r="AB22" s="323" t="str">
        <f t="shared" si="15"/>
        <v/>
      </c>
    </row>
    <row r="23" spans="1:28" ht="14.25">
      <c r="A23" s="204"/>
      <c r="B23" s="235"/>
      <c r="C23" s="236">
        <v>4400</v>
      </c>
      <c r="D23" s="237" t="str">
        <f>IF(ISBLANK(C23),"",VLOOKUP(C23,各艇データ,2,FALSE))</f>
        <v>アイデアル</v>
      </c>
      <c r="E23" s="238">
        <f t="shared" si="23"/>
        <v>9.0399999999999991</v>
      </c>
      <c r="F23" s="239"/>
      <c r="G23" s="240"/>
      <c r="H23" s="271" t="str">
        <f t="shared" si="28"/>
        <v/>
      </c>
      <c r="I23" s="241">
        <f t="shared" si="25"/>
        <v>580.9</v>
      </c>
      <c r="J23" s="238"/>
      <c r="K23" s="242" t="str">
        <f t="shared" si="29"/>
        <v/>
      </c>
      <c r="L23" s="240" t="str">
        <f>IFERROR((K23-$K$7)/86400,"")</f>
        <v/>
      </c>
      <c r="M23" s="243" t="str">
        <f>IFERROR((K23-$K$7)/$N$3,"")</f>
        <v/>
      </c>
      <c r="N23" s="244"/>
      <c r="O23" s="245">
        <v>1</v>
      </c>
      <c r="P23" s="351" t="s">
        <v>424</v>
      </c>
      <c r="Q23" s="247"/>
      <c r="R23" s="293"/>
      <c r="S23" s="316">
        <f t="shared" si="7"/>
        <v>9.4700000000000006</v>
      </c>
      <c r="T23" s="317">
        <f t="shared" si="8"/>
        <v>9.0399999999999991</v>
      </c>
      <c r="U23" s="318">
        <f t="shared" si="9"/>
        <v>8.65</v>
      </c>
      <c r="V23" s="319">
        <f t="shared" si="10"/>
        <v>922.4</v>
      </c>
      <c r="W23" s="320">
        <f t="shared" si="11"/>
        <v>580.9</v>
      </c>
      <c r="X23" s="321">
        <f t="shared" si="12"/>
        <v>520.71488932356897</v>
      </c>
      <c r="Y23" s="308"/>
      <c r="Z23" s="322" t="str">
        <f t="shared" si="13"/>
        <v/>
      </c>
      <c r="AA23" s="315" t="str">
        <f t="shared" si="14"/>
        <v/>
      </c>
      <c r="AB23" s="323" t="str">
        <f t="shared" si="15"/>
        <v/>
      </c>
    </row>
    <row r="24" spans="1:28" ht="14.25">
      <c r="A24" s="204"/>
      <c r="B24" s="235"/>
      <c r="C24" s="236"/>
      <c r="D24" s="237"/>
      <c r="E24" s="238"/>
      <c r="F24" s="239"/>
      <c r="G24" s="240"/>
      <c r="H24" s="236"/>
      <c r="I24" s="241"/>
      <c r="J24" s="238"/>
      <c r="K24" s="242"/>
      <c r="L24" s="240"/>
      <c r="M24" s="243"/>
      <c r="N24" s="244"/>
      <c r="O24" s="245"/>
      <c r="P24" s="282"/>
      <c r="Q24" s="247"/>
      <c r="R24" s="293"/>
      <c r="S24" s="316" t="str">
        <f t="shared" si="7"/>
        <v/>
      </c>
      <c r="T24" s="317" t="str">
        <f t="shared" si="8"/>
        <v/>
      </c>
      <c r="U24" s="318" t="str">
        <f t="shared" si="9"/>
        <v/>
      </c>
      <c r="V24" s="319" t="str">
        <f t="shared" si="10"/>
        <v/>
      </c>
      <c r="W24" s="320" t="str">
        <f t="shared" si="11"/>
        <v/>
      </c>
      <c r="X24" s="321" t="str">
        <f t="shared" si="12"/>
        <v/>
      </c>
      <c r="Y24" s="308"/>
      <c r="Z24" s="322" t="str">
        <f t="shared" si="13"/>
        <v/>
      </c>
      <c r="AA24" s="315" t="str">
        <f t="shared" si="14"/>
        <v/>
      </c>
      <c r="AB24" s="323" t="str">
        <f t="shared" si="15"/>
        <v/>
      </c>
    </row>
    <row r="25" spans="1:28" ht="14.25">
      <c r="A25" s="204"/>
      <c r="B25" s="235"/>
      <c r="C25" s="236"/>
      <c r="D25" s="237" t="str">
        <f t="shared" ref="D25:D31" si="30">IF(ISBLANK(C25),"",VLOOKUP(C25,各艇データ,2,FALSE))</f>
        <v/>
      </c>
      <c r="E25" s="238"/>
      <c r="F25" s="239"/>
      <c r="G25" s="240"/>
      <c r="H25" s="236"/>
      <c r="I25" s="241"/>
      <c r="J25" s="238"/>
      <c r="K25" s="242"/>
      <c r="L25" s="240"/>
      <c r="M25" s="243"/>
      <c r="N25" s="244"/>
      <c r="O25" s="245"/>
      <c r="P25" s="282"/>
      <c r="Q25" s="247"/>
      <c r="R25" s="293"/>
      <c r="S25" s="316" t="str">
        <f t="shared" si="7"/>
        <v/>
      </c>
      <c r="T25" s="317" t="str">
        <f t="shared" si="8"/>
        <v/>
      </c>
      <c r="U25" s="318" t="str">
        <f t="shared" si="9"/>
        <v/>
      </c>
      <c r="V25" s="319" t="str">
        <f t="shared" si="10"/>
        <v/>
      </c>
      <c r="W25" s="320" t="str">
        <f t="shared" si="11"/>
        <v/>
      </c>
      <c r="X25" s="321" t="str">
        <f t="shared" si="12"/>
        <v/>
      </c>
      <c r="Y25" s="308"/>
      <c r="Z25" s="322" t="str">
        <f t="shared" si="13"/>
        <v/>
      </c>
      <c r="AA25" s="315" t="str">
        <f t="shared" si="14"/>
        <v/>
      </c>
      <c r="AB25" s="323" t="str">
        <f t="shared" si="15"/>
        <v/>
      </c>
    </row>
    <row r="26" spans="1:28" ht="14.25">
      <c r="A26" s="204"/>
      <c r="B26" s="248"/>
      <c r="C26" s="249"/>
      <c r="D26" s="250" t="str">
        <f t="shared" si="30"/>
        <v/>
      </c>
      <c r="E26" s="251"/>
      <c r="F26" s="252"/>
      <c r="G26" s="253"/>
      <c r="H26" s="249" t="str">
        <f>IFERROR(IF(G26-$Q$2&lt;=0,"",(G26-$Q$2)*86400),"")</f>
        <v/>
      </c>
      <c r="I26" s="265"/>
      <c r="J26" s="251"/>
      <c r="K26" s="267" t="str">
        <f>IFERROR(H26*(1+0.01*J26)-I26*$N$3,"")</f>
        <v/>
      </c>
      <c r="L26" s="253" t="str">
        <f>IFERROR((K26-$K$7)/86400,"")</f>
        <v/>
      </c>
      <c r="M26" s="268" t="str">
        <f>IFERROR((K26-$K$7)/$N$3,"")</f>
        <v/>
      </c>
      <c r="N26" s="269" t="str">
        <f>IFERROR($N$3/(H26/3600),"")</f>
        <v/>
      </c>
      <c r="O26" s="270"/>
      <c r="P26" s="283"/>
      <c r="Q26" s="263"/>
      <c r="R26" s="293"/>
      <c r="S26" s="316" t="str">
        <f t="shared" si="7"/>
        <v/>
      </c>
      <c r="T26" s="317" t="str">
        <f t="shared" si="8"/>
        <v/>
      </c>
      <c r="U26" s="318" t="str">
        <f t="shared" si="9"/>
        <v/>
      </c>
      <c r="V26" s="319" t="str">
        <f t="shared" si="10"/>
        <v/>
      </c>
      <c r="W26" s="320" t="str">
        <f t="shared" si="11"/>
        <v/>
      </c>
      <c r="X26" s="321" t="str">
        <f t="shared" si="12"/>
        <v/>
      </c>
      <c r="Y26" s="308"/>
      <c r="Z26" s="322" t="str">
        <f t="shared" si="13"/>
        <v/>
      </c>
      <c r="AA26" s="315" t="str">
        <f t="shared" si="14"/>
        <v/>
      </c>
      <c r="AB26" s="323" t="str">
        <f t="shared" si="15"/>
        <v/>
      </c>
    </row>
    <row r="27" spans="1:28" ht="14.25">
      <c r="A27" s="204"/>
      <c r="B27" s="279"/>
      <c r="C27" s="271"/>
      <c r="D27" s="284" t="str">
        <f t="shared" si="30"/>
        <v/>
      </c>
      <c r="E27" s="273"/>
      <c r="F27" s="285"/>
      <c r="G27" s="275"/>
      <c r="H27" s="223" t="str">
        <f>IFERROR(IF(G27-$Q$2&lt;=0,"",(G27-$Q$2)*86400),"")</f>
        <v/>
      </c>
      <c r="I27" s="228"/>
      <c r="J27" s="225"/>
      <c r="K27" s="229" t="str">
        <f>IFERROR(H27*(1+0.01*J27)-I27*$N$3,"")</f>
        <v/>
      </c>
      <c r="L27" s="227" t="str">
        <f>IFERROR((K27-$K$7)/86400,"")</f>
        <v/>
      </c>
      <c r="M27" s="230" t="str">
        <f>IFERROR((K27-$K$7)/$N$3,"")</f>
        <v/>
      </c>
      <c r="N27" s="231" t="str">
        <f>IFERROR($N$3/(H27/3600),"")</f>
        <v/>
      </c>
      <c r="O27" s="232"/>
      <c r="P27" s="286"/>
      <c r="Q27" s="280"/>
      <c r="R27" s="293"/>
      <c r="S27" s="316" t="str">
        <f t="shared" si="7"/>
        <v/>
      </c>
      <c r="T27" s="317" t="str">
        <f t="shared" si="8"/>
        <v/>
      </c>
      <c r="U27" s="318" t="str">
        <f t="shared" si="9"/>
        <v/>
      </c>
      <c r="V27" s="319" t="str">
        <f t="shared" si="10"/>
        <v/>
      </c>
      <c r="W27" s="320" t="str">
        <f t="shared" si="11"/>
        <v/>
      </c>
      <c r="X27" s="321" t="str">
        <f t="shared" si="12"/>
        <v/>
      </c>
      <c r="Y27" s="308"/>
      <c r="Z27" s="322" t="str">
        <f t="shared" si="13"/>
        <v/>
      </c>
      <c r="AA27" s="315" t="str">
        <f t="shared" si="14"/>
        <v/>
      </c>
      <c r="AB27" s="323" t="str">
        <f t="shared" si="15"/>
        <v/>
      </c>
    </row>
    <row r="28" spans="1:28" ht="14.25" customHeight="1">
      <c r="A28" s="204"/>
      <c r="B28" s="235"/>
      <c r="C28" s="236"/>
      <c r="D28" s="237" t="str">
        <f t="shared" si="30"/>
        <v/>
      </c>
      <c r="E28" s="238"/>
      <c r="F28" s="239"/>
      <c r="G28" s="240"/>
      <c r="H28" s="236"/>
      <c r="I28" s="241"/>
      <c r="J28" s="238"/>
      <c r="K28" s="242"/>
      <c r="L28" s="240"/>
      <c r="M28" s="243"/>
      <c r="N28" s="244"/>
      <c r="O28" s="245"/>
      <c r="P28" s="287"/>
      <c r="Q28" s="247"/>
      <c r="R28" s="293"/>
      <c r="S28" s="316" t="str">
        <f t="shared" si="7"/>
        <v/>
      </c>
      <c r="T28" s="317" t="str">
        <f t="shared" si="8"/>
        <v/>
      </c>
      <c r="U28" s="318" t="str">
        <f t="shared" si="9"/>
        <v/>
      </c>
      <c r="V28" s="319" t="str">
        <f t="shared" si="10"/>
        <v/>
      </c>
      <c r="W28" s="320" t="str">
        <f t="shared" si="11"/>
        <v/>
      </c>
      <c r="X28" s="321" t="str">
        <f t="shared" si="12"/>
        <v/>
      </c>
      <c r="Y28" s="308"/>
      <c r="Z28" s="322" t="str">
        <f t="shared" si="13"/>
        <v/>
      </c>
      <c r="AA28" s="315" t="str">
        <f t="shared" si="14"/>
        <v/>
      </c>
      <c r="AB28" s="323" t="str">
        <f t="shared" si="15"/>
        <v/>
      </c>
    </row>
    <row r="29" spans="1:28" ht="14.25">
      <c r="A29" s="204"/>
      <c r="B29" s="235"/>
      <c r="C29" s="236"/>
      <c r="D29" s="237" t="str">
        <f t="shared" si="30"/>
        <v/>
      </c>
      <c r="E29" s="238"/>
      <c r="F29" s="239"/>
      <c r="G29" s="240"/>
      <c r="H29" s="236"/>
      <c r="I29" s="241"/>
      <c r="J29" s="238"/>
      <c r="K29" s="242"/>
      <c r="L29" s="240"/>
      <c r="M29" s="243"/>
      <c r="N29" s="244"/>
      <c r="O29" s="245"/>
      <c r="P29" s="282"/>
      <c r="Q29" s="247"/>
      <c r="R29" s="293"/>
      <c r="S29" s="316" t="str">
        <f t="shared" si="7"/>
        <v/>
      </c>
      <c r="T29" s="317" t="str">
        <f t="shared" si="8"/>
        <v/>
      </c>
      <c r="U29" s="318" t="str">
        <f t="shared" si="9"/>
        <v/>
      </c>
      <c r="V29" s="319" t="str">
        <f t="shared" si="10"/>
        <v/>
      </c>
      <c r="W29" s="320" t="str">
        <f t="shared" si="11"/>
        <v/>
      </c>
      <c r="X29" s="321" t="str">
        <f t="shared" si="12"/>
        <v/>
      </c>
      <c r="Y29" s="308"/>
      <c r="Z29" s="322" t="str">
        <f t="shared" si="13"/>
        <v/>
      </c>
      <c r="AA29" s="315" t="str">
        <f t="shared" si="14"/>
        <v/>
      </c>
      <c r="AB29" s="323" t="str">
        <f t="shared" si="15"/>
        <v/>
      </c>
    </row>
    <row r="30" spans="1:28" ht="14.25" customHeight="1">
      <c r="A30" s="204"/>
      <c r="B30" s="235"/>
      <c r="C30" s="236"/>
      <c r="D30" s="237" t="str">
        <f t="shared" si="30"/>
        <v/>
      </c>
      <c r="E30" s="238"/>
      <c r="F30" s="239"/>
      <c r="G30" s="240"/>
      <c r="H30" s="236"/>
      <c r="I30" s="241"/>
      <c r="J30" s="238"/>
      <c r="K30" s="242"/>
      <c r="L30" s="240"/>
      <c r="M30" s="243"/>
      <c r="N30" s="244"/>
      <c r="O30" s="245"/>
      <c r="P30" s="282"/>
      <c r="Q30" s="247"/>
      <c r="R30" s="293"/>
      <c r="S30" s="316" t="str">
        <f t="shared" si="7"/>
        <v/>
      </c>
      <c r="T30" s="317" t="str">
        <f t="shared" si="8"/>
        <v/>
      </c>
      <c r="U30" s="318" t="str">
        <f t="shared" si="9"/>
        <v/>
      </c>
      <c r="V30" s="319" t="str">
        <f t="shared" si="10"/>
        <v/>
      </c>
      <c r="W30" s="320" t="str">
        <f t="shared" si="11"/>
        <v/>
      </c>
      <c r="X30" s="321" t="str">
        <f t="shared" si="12"/>
        <v/>
      </c>
      <c r="Y30" s="308"/>
      <c r="Z30" s="322" t="str">
        <f t="shared" si="13"/>
        <v/>
      </c>
      <c r="AA30" s="315" t="str">
        <f t="shared" si="14"/>
        <v/>
      </c>
      <c r="AB30" s="323" t="str">
        <f t="shared" si="15"/>
        <v/>
      </c>
    </row>
    <row r="31" spans="1:28" ht="15" thickBot="1">
      <c r="A31" s="204"/>
      <c r="B31" s="235"/>
      <c r="C31" s="236"/>
      <c r="D31" s="250" t="str">
        <f t="shared" si="30"/>
        <v/>
      </c>
      <c r="E31" s="251"/>
      <c r="F31" s="239"/>
      <c r="G31" s="240"/>
      <c r="H31" s="249" t="str">
        <f>IFERROR(IF(G31-$Q$2&lt;=0,"",(G31-$Q$2)*86400),"")</f>
        <v/>
      </c>
      <c r="I31" s="265" t="str">
        <f>IF($I$6="Ⅰ",V31,IF($I$6="Ⅱ",W31,IF($I$6="Ⅲ",X31,"")))</f>
        <v/>
      </c>
      <c r="J31" s="251"/>
      <c r="K31" s="267" t="str">
        <f>IFERROR(H31*(1+0.01*J31)-I31*$N$3,"")</f>
        <v/>
      </c>
      <c r="L31" s="253" t="str">
        <f>IFERROR((K31-$K$7)/86400,"")</f>
        <v/>
      </c>
      <c r="M31" s="268" t="str">
        <f>IFERROR((K31-$K$7)/$N$3,"")</f>
        <v/>
      </c>
      <c r="N31" s="269" t="str">
        <f>IFERROR($N$3/(H31/3600),"")</f>
        <v/>
      </c>
      <c r="O31" s="270" t="str">
        <f>IF($O$6="MAX=20",Z31,IF($O$6="MAX=30",AA31,IF($O$6="MAX=40",AB31,"")))</f>
        <v/>
      </c>
      <c r="P31" s="283"/>
      <c r="Q31" s="263"/>
      <c r="R31" s="293"/>
      <c r="S31" s="324" t="str">
        <f t="shared" si="7"/>
        <v/>
      </c>
      <c r="T31" s="325" t="str">
        <f t="shared" si="8"/>
        <v/>
      </c>
      <c r="U31" s="326" t="str">
        <f t="shared" si="9"/>
        <v/>
      </c>
      <c r="V31" s="327" t="str">
        <f t="shared" si="10"/>
        <v/>
      </c>
      <c r="W31" s="328" t="str">
        <f t="shared" si="11"/>
        <v/>
      </c>
      <c r="X31" s="329" t="str">
        <f t="shared" si="12"/>
        <v/>
      </c>
      <c r="Y31" s="308"/>
      <c r="Z31" s="340" t="str">
        <f t="shared" si="13"/>
        <v/>
      </c>
      <c r="AA31" s="341" t="str">
        <f t="shared" si="14"/>
        <v/>
      </c>
      <c r="AB31" s="342" t="str">
        <f t="shared" si="15"/>
        <v/>
      </c>
    </row>
    <row r="32" spans="1:28" ht="15" customHeight="1">
      <c r="A32" s="204"/>
      <c r="B32" s="608" t="s">
        <v>346</v>
      </c>
      <c r="C32" s="609"/>
      <c r="D32" s="610"/>
      <c r="E32" s="288" t="s">
        <v>188</v>
      </c>
      <c r="F32" s="601" t="s">
        <v>426</v>
      </c>
      <c r="G32" s="602"/>
      <c r="H32" s="592" t="s">
        <v>437</v>
      </c>
      <c r="I32" s="593"/>
      <c r="J32" s="593"/>
      <c r="K32" s="593"/>
      <c r="L32" s="593"/>
      <c r="M32" s="593"/>
      <c r="N32" s="593"/>
      <c r="O32" s="593"/>
      <c r="P32" s="593"/>
      <c r="Q32" s="594"/>
      <c r="R32" s="193"/>
      <c r="S32" s="302"/>
      <c r="T32" s="302"/>
      <c r="U32" s="302"/>
      <c r="X32" s="302"/>
      <c r="Y32" s="302"/>
    </row>
    <row r="33" spans="1:25" ht="15" customHeight="1">
      <c r="A33" s="204"/>
      <c r="B33" s="611"/>
      <c r="C33" s="612"/>
      <c r="D33" s="613"/>
      <c r="E33" s="289" t="s">
        <v>189</v>
      </c>
      <c r="F33" s="603" t="s">
        <v>427</v>
      </c>
      <c r="G33" s="604"/>
      <c r="H33" s="595"/>
      <c r="I33" s="596"/>
      <c r="J33" s="596"/>
      <c r="K33" s="596"/>
      <c r="L33" s="596"/>
      <c r="M33" s="596"/>
      <c r="N33" s="596"/>
      <c r="O33" s="596"/>
      <c r="P33" s="596"/>
      <c r="Q33" s="597"/>
      <c r="R33" s="193"/>
      <c r="S33" s="302"/>
      <c r="T33" s="302"/>
      <c r="U33" s="302"/>
      <c r="X33" s="302"/>
      <c r="Y33" s="302"/>
    </row>
    <row r="34" spans="1:25" ht="23.25" customHeight="1">
      <c r="A34" s="204"/>
      <c r="B34" s="614"/>
      <c r="C34" s="615"/>
      <c r="D34" s="616"/>
      <c r="E34" s="289" t="s">
        <v>190</v>
      </c>
      <c r="F34" s="603" t="s">
        <v>425</v>
      </c>
      <c r="G34" s="604"/>
      <c r="H34" s="595"/>
      <c r="I34" s="596"/>
      <c r="J34" s="596"/>
      <c r="K34" s="596"/>
      <c r="L34" s="596"/>
      <c r="M34" s="596"/>
      <c r="N34" s="596"/>
      <c r="O34" s="596"/>
      <c r="P34" s="596"/>
      <c r="Q34" s="597"/>
      <c r="R34" s="193"/>
      <c r="S34" s="302"/>
      <c r="T34" s="302"/>
      <c r="U34" s="302"/>
      <c r="X34" s="302"/>
      <c r="Y34" s="302"/>
    </row>
    <row r="35" spans="1:25" ht="22.5" customHeight="1">
      <c r="A35" s="204"/>
      <c r="B35" s="617" t="s">
        <v>330</v>
      </c>
      <c r="C35" s="618"/>
      <c r="D35" s="619"/>
      <c r="E35" s="626" t="s">
        <v>192</v>
      </c>
      <c r="F35" s="603" t="str">
        <f>参照ﾃﾞｰﾀ!AL15</f>
        <v>アイデアル</v>
      </c>
      <c r="G35" s="604"/>
      <c r="H35" s="595"/>
      <c r="I35" s="596"/>
      <c r="J35" s="596"/>
      <c r="K35" s="596"/>
      <c r="L35" s="596"/>
      <c r="M35" s="596"/>
      <c r="N35" s="596"/>
      <c r="O35" s="596"/>
      <c r="P35" s="596"/>
      <c r="Q35" s="597"/>
      <c r="R35" s="193"/>
      <c r="S35" s="302"/>
      <c r="T35" s="302"/>
      <c r="U35" s="302"/>
      <c r="X35" s="302"/>
      <c r="Y35" s="302"/>
    </row>
    <row r="36" spans="1:25" ht="15" customHeight="1">
      <c r="A36" s="204"/>
      <c r="B36" s="620"/>
      <c r="C36" s="621"/>
      <c r="D36" s="622"/>
      <c r="E36" s="627"/>
      <c r="F36" s="603"/>
      <c r="G36" s="604"/>
      <c r="H36" s="595"/>
      <c r="I36" s="596"/>
      <c r="J36" s="596"/>
      <c r="K36" s="596"/>
      <c r="L36" s="596"/>
      <c r="M36" s="596"/>
      <c r="N36" s="596"/>
      <c r="O36" s="596"/>
      <c r="P36" s="596"/>
      <c r="Q36" s="597"/>
      <c r="R36" s="193"/>
      <c r="S36" s="302"/>
      <c r="T36" s="302"/>
      <c r="U36" s="302"/>
      <c r="X36" s="302"/>
      <c r="Y36" s="302"/>
    </row>
    <row r="37" spans="1:25" ht="15" customHeight="1">
      <c r="A37" s="204"/>
      <c r="B37" s="620"/>
      <c r="C37" s="621"/>
      <c r="D37" s="622"/>
      <c r="E37" s="288" t="s">
        <v>191</v>
      </c>
      <c r="F37" s="605">
        <v>43450</v>
      </c>
      <c r="G37" s="602"/>
      <c r="H37" s="595"/>
      <c r="I37" s="596"/>
      <c r="J37" s="596"/>
      <c r="K37" s="596"/>
      <c r="L37" s="596"/>
      <c r="M37" s="596"/>
      <c r="N37" s="596"/>
      <c r="O37" s="596"/>
      <c r="P37" s="596"/>
      <c r="Q37" s="597"/>
      <c r="R37" s="193"/>
      <c r="S37" s="302"/>
      <c r="T37" s="302"/>
      <c r="U37" s="302"/>
      <c r="X37" s="302"/>
      <c r="Y37" s="302"/>
    </row>
    <row r="38" spans="1:25" ht="15" customHeight="1">
      <c r="A38" s="204"/>
      <c r="B38" s="620"/>
      <c r="C38" s="621"/>
      <c r="D38" s="622"/>
      <c r="E38" s="289" t="s">
        <v>205</v>
      </c>
      <c r="F38" s="603" t="s">
        <v>76</v>
      </c>
      <c r="G38" s="604"/>
      <c r="H38" s="595"/>
      <c r="I38" s="596"/>
      <c r="J38" s="596"/>
      <c r="K38" s="596"/>
      <c r="L38" s="596"/>
      <c r="M38" s="596"/>
      <c r="N38" s="596"/>
      <c r="O38" s="596"/>
      <c r="P38" s="596"/>
      <c r="Q38" s="597"/>
      <c r="R38" s="193"/>
      <c r="S38" s="302"/>
      <c r="T38" s="302"/>
      <c r="U38" s="302"/>
      <c r="X38" s="302"/>
      <c r="Y38" s="302"/>
    </row>
    <row r="39" spans="1:25" ht="15" customHeight="1">
      <c r="A39" s="204"/>
      <c r="B39" s="620"/>
      <c r="C39" s="621"/>
      <c r="D39" s="622"/>
      <c r="E39" s="289" t="s">
        <v>192</v>
      </c>
      <c r="F39" s="603" t="str">
        <f>参照ﾃﾞｰﾀ!AL16</f>
        <v>未央</v>
      </c>
      <c r="G39" s="604"/>
      <c r="H39" s="595"/>
      <c r="I39" s="596"/>
      <c r="J39" s="596"/>
      <c r="K39" s="596"/>
      <c r="L39" s="596"/>
      <c r="M39" s="596"/>
      <c r="N39" s="596"/>
      <c r="O39" s="596"/>
      <c r="P39" s="596"/>
      <c r="Q39" s="597"/>
      <c r="R39" s="193"/>
      <c r="S39" s="302"/>
      <c r="T39" s="302"/>
      <c r="U39" s="302"/>
      <c r="X39" s="302"/>
      <c r="Y39" s="302"/>
    </row>
    <row r="40" spans="1:25" ht="15" customHeight="1">
      <c r="A40" s="204"/>
      <c r="B40" s="620"/>
      <c r="C40" s="621"/>
      <c r="D40" s="622"/>
      <c r="E40" s="289"/>
      <c r="F40" s="603"/>
      <c r="G40" s="604"/>
      <c r="H40" s="595"/>
      <c r="I40" s="596"/>
      <c r="J40" s="596"/>
      <c r="K40" s="596"/>
      <c r="L40" s="596"/>
      <c r="M40" s="596"/>
      <c r="N40" s="596"/>
      <c r="O40" s="596"/>
      <c r="P40" s="596"/>
      <c r="Q40" s="597"/>
      <c r="R40" s="193"/>
      <c r="S40" s="302"/>
      <c r="T40" s="302"/>
      <c r="U40" s="302"/>
      <c r="X40" s="302"/>
      <c r="Y40" s="302"/>
    </row>
    <row r="41" spans="1:25" ht="11.25" customHeight="1" thickBot="1">
      <c r="A41" s="204"/>
      <c r="B41" s="623"/>
      <c r="C41" s="624"/>
      <c r="D41" s="625"/>
      <c r="E41" s="290"/>
      <c r="F41" s="628"/>
      <c r="G41" s="629"/>
      <c r="H41" s="598"/>
      <c r="I41" s="599"/>
      <c r="J41" s="599"/>
      <c r="K41" s="599"/>
      <c r="L41" s="599"/>
      <c r="M41" s="599"/>
      <c r="N41" s="599"/>
      <c r="O41" s="599"/>
      <c r="P41" s="599"/>
      <c r="Q41" s="600"/>
      <c r="R41" s="193"/>
      <c r="S41" s="302"/>
      <c r="T41" s="302"/>
      <c r="U41" s="302"/>
      <c r="V41" s="302"/>
      <c r="W41" s="302"/>
      <c r="X41" s="302"/>
      <c r="Y41" s="302"/>
    </row>
    <row r="42" spans="1:25">
      <c r="A42" s="204"/>
      <c r="B42" s="204"/>
      <c r="C42" s="204"/>
      <c r="D42" s="204"/>
      <c r="E42" s="204"/>
      <c r="F42" s="204"/>
      <c r="G42" s="204"/>
      <c r="H42" s="204"/>
      <c r="I42" s="204"/>
      <c r="J42" s="204"/>
      <c r="K42" s="204"/>
      <c r="L42" s="204"/>
      <c r="M42" s="204"/>
      <c r="N42" s="204"/>
      <c r="O42" s="204"/>
      <c r="P42" s="204"/>
      <c r="Q42" s="204"/>
      <c r="R42" s="204"/>
    </row>
  </sheetData>
  <sheetProtection algorithmName="SHA-512" hashValue="Ze9INX74muV39vx4TjpveZIMinZhgmfdb1AqRWP77Brkt0phlooYdffwVJRh9hW4+oNahpQ+zNhYmNMiQnwfxA==" saltValue="vFZ/cdF4U3c1GJDnL10unA==" spinCount="100000" sheet="1" objects="1" scenarios="1"/>
  <sortState ref="C7:K20">
    <sortCondition ref="K7:K20"/>
  </sortState>
  <mergeCells count="18">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D2:F2"/>
    <mergeCell ref="E3:I3"/>
    <mergeCell ref="J3:K3"/>
  </mergeCells>
  <phoneticPr fontId="42"/>
  <dataValidations count="8">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38:G38">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
      <formula1>時刻</formula1>
    </dataValidation>
    <dataValidation type="list" allowBlank="1" showInputMessage="1" showErrorMessage="1" sqref="P2 F37:G37">
      <formula1>開催日</formula1>
    </dataValidation>
  </dataValidations>
  <pageMargins left="0.31496062992125984" right="0" top="0.35433070866141736" bottom="0.19685039370078741" header="0" footer="0"/>
  <pageSetup paperSize="9" orientation="landscape" horizontalDpi="4294967293"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tabSelected="1" zoomScale="85" zoomScaleNormal="85" workbookViewId="0">
      <selection activeCell="T35" sqref="T35"/>
    </sheetView>
  </sheetViews>
  <sheetFormatPr defaultRowHeight="13.5"/>
  <cols>
    <col min="1" max="1" width="1.75" style="301" customWidth="1"/>
    <col min="2" max="2" width="5" style="301" customWidth="1"/>
    <col min="3" max="3" width="7" style="301" customWidth="1"/>
    <col min="4" max="4" width="18" style="301" customWidth="1"/>
    <col min="5" max="5" width="8" style="301" customWidth="1"/>
    <col min="6" max="6" width="5" style="301" customWidth="1"/>
    <col min="7" max="7" width="10.875" style="301" customWidth="1"/>
    <col min="8" max="8" width="8.375" style="301" customWidth="1"/>
    <col min="9" max="9" width="8.625" style="301" customWidth="1"/>
    <col min="10" max="10" width="5" style="301" customWidth="1"/>
    <col min="11" max="11" width="8.5" style="301" customWidth="1"/>
    <col min="12" max="12" width="10.875" style="301" customWidth="1"/>
    <col min="13" max="13" width="9.5" style="301" customWidth="1"/>
    <col min="14" max="14" width="7.875" style="301" customWidth="1"/>
    <col min="15" max="15" width="8" style="301" customWidth="1"/>
    <col min="16" max="16" width="12" style="301" bestFit="1" customWidth="1"/>
    <col min="17" max="17" width="11.625" style="301" customWidth="1"/>
    <col min="18" max="18" width="4.875" style="301" customWidth="1"/>
    <col min="19" max="21" width="7.625" style="301" customWidth="1"/>
    <col min="22" max="22" width="8.25" style="301" customWidth="1"/>
    <col min="23" max="24" width="7.625" style="301" customWidth="1"/>
    <col min="25" max="25" width="4.5" style="301" customWidth="1"/>
    <col min="26" max="28" width="8" style="301" customWidth="1"/>
    <col min="29" max="16384" width="9" style="301"/>
  </cols>
  <sheetData>
    <row r="1" spans="1:28" ht="9.75" customHeight="1" thickBot="1">
      <c r="A1" s="204"/>
      <c r="B1" s="204"/>
      <c r="C1" s="204"/>
      <c r="D1" s="204"/>
      <c r="E1" s="204"/>
      <c r="F1" s="204"/>
      <c r="G1" s="204"/>
      <c r="H1" s="204"/>
      <c r="I1" s="204"/>
      <c r="J1" s="204"/>
      <c r="K1" s="204"/>
      <c r="L1" s="204"/>
      <c r="M1" s="204"/>
      <c r="N1" s="204"/>
      <c r="O1" s="204"/>
      <c r="P1" s="204"/>
      <c r="Q1" s="204"/>
      <c r="R1" s="204"/>
    </row>
    <row r="2" spans="1:28" ht="21">
      <c r="A2" s="204"/>
      <c r="B2" s="193"/>
      <c r="C2" s="194"/>
      <c r="D2" s="606" t="str">
        <f>参照ﾃﾞｰﾀ!P4</f>
        <v>2018年</v>
      </c>
      <c r="E2" s="606"/>
      <c r="F2" s="606"/>
      <c r="G2" s="195" t="s">
        <v>204</v>
      </c>
      <c r="H2" s="196"/>
      <c r="I2" s="197"/>
      <c r="J2" s="193"/>
      <c r="K2" s="198"/>
      <c r="L2" s="193"/>
      <c r="M2" s="199" t="s">
        <v>53</v>
      </c>
      <c r="N2" s="200" t="s">
        <v>76</v>
      </c>
      <c r="O2" s="201" t="s">
        <v>55</v>
      </c>
      <c r="P2" s="455">
        <v>43450</v>
      </c>
      <c r="Q2" s="456">
        <v>0.4375</v>
      </c>
      <c r="R2" s="193"/>
      <c r="S2" s="303" t="s">
        <v>2</v>
      </c>
      <c r="T2" s="302"/>
      <c r="U2" s="302"/>
      <c r="V2" s="302"/>
      <c r="W2" s="302"/>
      <c r="X2" s="302"/>
      <c r="Y2" s="302"/>
    </row>
    <row r="3" spans="1:28" ht="21.75" customHeight="1" thickBot="1">
      <c r="A3" s="204"/>
      <c r="B3" s="193"/>
      <c r="C3" s="204"/>
      <c r="D3" s="352" t="s">
        <v>273</v>
      </c>
      <c r="E3" s="607" t="s">
        <v>65</v>
      </c>
      <c r="F3" s="607"/>
      <c r="G3" s="607"/>
      <c r="H3" s="607"/>
      <c r="I3" s="607"/>
      <c r="J3" s="589" t="s">
        <v>88</v>
      </c>
      <c r="K3" s="589"/>
      <c r="L3" s="206"/>
      <c r="M3" s="207" t="s">
        <v>77</v>
      </c>
      <c r="N3" s="208">
        <f>IF(ISBLANK(N2),"",VLOOKUP(N2,コース・距離,2,FALSE))</f>
        <v>11.3</v>
      </c>
      <c r="O3" s="209" t="s">
        <v>0</v>
      </c>
      <c r="P3" s="210">
        <v>16</v>
      </c>
      <c r="Q3" s="211" t="s">
        <v>1</v>
      </c>
      <c r="R3" s="193"/>
      <c r="S3" s="302" t="s">
        <v>265</v>
      </c>
      <c r="T3" s="302"/>
      <c r="U3" s="302"/>
      <c r="V3" s="303" t="s">
        <v>2</v>
      </c>
      <c r="W3" s="304"/>
      <c r="X3" s="304"/>
      <c r="Y3" s="302"/>
      <c r="Z3" s="305" t="s">
        <v>78</v>
      </c>
    </row>
    <row r="4" spans="1:28" ht="7.5" customHeight="1" thickBot="1">
      <c r="A4" s="204"/>
      <c r="B4" s="193"/>
      <c r="C4" s="193"/>
      <c r="D4" s="193"/>
      <c r="E4" s="193"/>
      <c r="F4" s="193"/>
      <c r="G4" s="193"/>
      <c r="H4" s="193"/>
      <c r="I4" s="193"/>
      <c r="J4" s="193"/>
      <c r="K4" s="193"/>
      <c r="L4" s="193"/>
      <c r="M4" s="193"/>
      <c r="N4" s="193"/>
      <c r="O4" s="193"/>
      <c r="P4" s="193"/>
      <c r="Q4" s="193"/>
      <c r="R4" s="193"/>
      <c r="S4" s="302"/>
      <c r="T4" s="302"/>
      <c r="U4" s="302"/>
      <c r="V4" s="306"/>
      <c r="W4" s="304"/>
      <c r="X4" s="304"/>
      <c r="Y4" s="302"/>
    </row>
    <row r="5" spans="1:28" ht="14.25">
      <c r="A5" s="204"/>
      <c r="B5" s="212" t="s">
        <v>3</v>
      </c>
      <c r="C5" s="213" t="s">
        <v>4</v>
      </c>
      <c r="D5" s="213" t="s">
        <v>5</v>
      </c>
      <c r="E5" s="213" t="s">
        <v>6</v>
      </c>
      <c r="F5" s="213" t="s">
        <v>7</v>
      </c>
      <c r="G5" s="213" t="s">
        <v>8</v>
      </c>
      <c r="H5" s="213" t="s">
        <v>9</v>
      </c>
      <c r="I5" s="213" t="s">
        <v>10</v>
      </c>
      <c r="J5" s="213" t="s">
        <v>11</v>
      </c>
      <c r="K5" s="213" t="s">
        <v>12</v>
      </c>
      <c r="L5" s="214" t="s">
        <v>331</v>
      </c>
      <c r="M5" s="214" t="s">
        <v>328</v>
      </c>
      <c r="N5" s="213" t="s">
        <v>73</v>
      </c>
      <c r="O5" s="213" t="s">
        <v>13</v>
      </c>
      <c r="P5" s="590" t="s">
        <v>72</v>
      </c>
      <c r="Q5" s="591"/>
      <c r="R5" s="293"/>
      <c r="S5" s="309" t="s">
        <v>10</v>
      </c>
      <c r="T5" s="307" t="s">
        <v>10</v>
      </c>
      <c r="U5" s="310" t="s">
        <v>10</v>
      </c>
      <c r="V5" s="309" t="s">
        <v>10</v>
      </c>
      <c r="W5" s="307" t="s">
        <v>10</v>
      </c>
      <c r="X5" s="310" t="s">
        <v>10</v>
      </c>
      <c r="Y5" s="308"/>
      <c r="Z5" s="309" t="s">
        <v>13</v>
      </c>
      <c r="AA5" s="307" t="s">
        <v>13</v>
      </c>
      <c r="AB5" s="310" t="s">
        <v>13</v>
      </c>
    </row>
    <row r="6" spans="1:28" ht="14.25">
      <c r="A6" s="204"/>
      <c r="B6" s="215"/>
      <c r="C6" s="216" t="s">
        <v>14</v>
      </c>
      <c r="D6" s="217"/>
      <c r="E6" s="218" t="s">
        <v>15</v>
      </c>
      <c r="F6" s="218"/>
      <c r="G6" s="216" t="s">
        <v>16</v>
      </c>
      <c r="H6" s="218" t="s">
        <v>17</v>
      </c>
      <c r="I6" s="216" t="s">
        <v>261</v>
      </c>
      <c r="J6" s="218" t="s">
        <v>18</v>
      </c>
      <c r="K6" s="218" t="s">
        <v>17</v>
      </c>
      <c r="L6" s="216" t="s">
        <v>16</v>
      </c>
      <c r="M6" s="218" t="s">
        <v>47</v>
      </c>
      <c r="N6" s="218" t="s">
        <v>19</v>
      </c>
      <c r="O6" s="219" t="str">
        <f>"MAX=20"</f>
        <v>MAX=20</v>
      </c>
      <c r="P6" s="220"/>
      <c r="Q6" s="221"/>
      <c r="R6" s="294"/>
      <c r="S6" s="313" t="s">
        <v>20</v>
      </c>
      <c r="T6" s="311" t="s">
        <v>22</v>
      </c>
      <c r="U6" s="314" t="s">
        <v>21</v>
      </c>
      <c r="V6" s="313" t="s">
        <v>20</v>
      </c>
      <c r="W6" s="311" t="s">
        <v>22</v>
      </c>
      <c r="X6" s="314" t="s">
        <v>21</v>
      </c>
      <c r="Y6" s="312"/>
      <c r="Z6" s="313" t="s">
        <v>80</v>
      </c>
      <c r="AA6" s="311" t="s">
        <v>81</v>
      </c>
      <c r="AB6" s="314" t="s">
        <v>82</v>
      </c>
    </row>
    <row r="7" spans="1:28" ht="14.25">
      <c r="A7" s="204"/>
      <c r="B7" s="222">
        <v>1</v>
      </c>
      <c r="C7" s="223">
        <v>4400</v>
      </c>
      <c r="D7" s="224" t="str">
        <f t="shared" ref="D7:D20" si="0">IF(ISBLANK(C7),"",VLOOKUP(C7,各艇データ,2,FALSE))</f>
        <v>アイデアル</v>
      </c>
      <c r="E7" s="353">
        <f t="shared" ref="E7:E20" si="1">IF($I$6="Ⅰ",S7,IF($I$6="Ⅱ",T7,IF($I$6="Ⅲ",U7,"")))</f>
        <v>9.0399999999999991</v>
      </c>
      <c r="F7" s="226">
        <v>2</v>
      </c>
      <c r="G7" s="227">
        <v>0.51853009259259253</v>
      </c>
      <c r="H7" s="223">
        <f t="shared" ref="H7:H20" si="2">IFERROR(IF(G7-$Q$2&lt;=0,"",(G7-$Q$2)*86400),"")</f>
        <v>7000.9999999999945</v>
      </c>
      <c r="I7" s="228">
        <f t="shared" ref="I7:I20" si="3">IF($I$6="Ⅰ",V7,IF($I$6="Ⅱ",W7,IF($I$6="Ⅲ",X7,"")))</f>
        <v>580.9</v>
      </c>
      <c r="J7" s="225"/>
      <c r="K7" s="229">
        <f t="shared" ref="K7:K20" si="4">IFERROR(H7*(1+0.01*J7)-I7*$N$3,"")</f>
        <v>436.82999999999447</v>
      </c>
      <c r="L7" s="227">
        <f t="shared" ref="L7:L20" si="5">IFERROR((K7-$K$7)/86400,"")</f>
        <v>0</v>
      </c>
      <c r="M7" s="230">
        <f t="shared" ref="M7:M20" si="6">IFERROR((K7-$K$7)/$N$3,"")</f>
        <v>0</v>
      </c>
      <c r="N7" s="231">
        <f t="shared" ref="N7:N20" si="7">IFERROR($N$3/(H7/3600),"")</f>
        <v>5.8105984859305861</v>
      </c>
      <c r="O7" s="232">
        <f>ROUND(IF($O$6="MAX=20",Z7,IF($O$6="MAX=30",AA7,IF($O$6="MAX=40",AB7,""))),1)</f>
        <v>20</v>
      </c>
      <c r="P7" s="358"/>
      <c r="Q7" s="234"/>
      <c r="R7" s="293"/>
      <c r="S7" s="316">
        <f t="shared" ref="S7:S31" si="8">IF(ISBLANK(C7),"",VLOOKUP(C7,各艇データ,3,FALSE))</f>
        <v>9.4700000000000006</v>
      </c>
      <c r="T7" s="317">
        <f t="shared" ref="T7:T31" si="9">IF(ISBLANK(C7),"",VLOOKUP(C7,各艇データ,4,FALSE))</f>
        <v>9.0399999999999991</v>
      </c>
      <c r="U7" s="318">
        <f t="shared" ref="U7:U31" si="10">IF(ISBLANK(C7),"",VLOOKUP(C7,各艇データ,5,FALSE))</f>
        <v>8.65</v>
      </c>
      <c r="V7" s="319">
        <f t="shared" ref="V7:V31" si="11">IF(ISBLANK(C7),"",VLOOKUP(C7,各艇データ,6,FALSE))</f>
        <v>922.4</v>
      </c>
      <c r="W7" s="320">
        <f t="shared" ref="W7:W31" si="12">IF(ISBLANK(C7),"",VLOOKUP(C7,各艇データ,7,FALSE))</f>
        <v>580.9</v>
      </c>
      <c r="X7" s="321">
        <f t="shared" ref="X7:X31" si="13">IF(ISBLANK(C7),"",VLOOKUP(C7,各艇データ,8,FALSE))</f>
        <v>520.71488932356897</v>
      </c>
      <c r="Y7" s="308"/>
      <c r="Z7" s="322">
        <f>IF(ISBLANK(B7),"",IFERROR(20*($P$3+1-$B7)/$P$3,"20.0"))</f>
        <v>20</v>
      </c>
      <c r="AA7" s="315">
        <f>IF(ISBLANK(B7),"",IFERROR(30*($P$3+1-$B7)/$P$3,"30.0"))</f>
        <v>30</v>
      </c>
      <c r="AB7" s="323">
        <f>IF(ISBLANK(B7),"",IFERROR(30*($P$3-$B7)/($P$3-1)+10,"20.0"))</f>
        <v>40</v>
      </c>
    </row>
    <row r="8" spans="1:28" ht="14.25">
      <c r="A8" s="204"/>
      <c r="B8" s="235">
        <v>2</v>
      </c>
      <c r="C8" s="236">
        <v>150</v>
      </c>
      <c r="D8" s="237" t="str">
        <f t="shared" si="0"/>
        <v>SHARK X</v>
      </c>
      <c r="E8" s="354">
        <f t="shared" si="1"/>
        <v>8.56</v>
      </c>
      <c r="F8" s="239">
        <v>3</v>
      </c>
      <c r="G8" s="240">
        <v>0.52016203703703701</v>
      </c>
      <c r="H8" s="236">
        <f t="shared" si="2"/>
        <v>7141.9999999999973</v>
      </c>
      <c r="I8" s="241">
        <f t="shared" si="3"/>
        <v>591.79999999999995</v>
      </c>
      <c r="J8" s="238"/>
      <c r="K8" s="242">
        <f t="shared" si="4"/>
        <v>454.65999999999713</v>
      </c>
      <c r="L8" s="240">
        <f t="shared" si="5"/>
        <v>2.0636574074077148E-4</v>
      </c>
      <c r="M8" s="243">
        <f t="shared" si="6"/>
        <v>1.5778761061949251</v>
      </c>
      <c r="N8" s="244">
        <f t="shared" si="7"/>
        <v>5.6958835060207251</v>
      </c>
      <c r="O8" s="245">
        <f t="shared" ref="O8:O20" si="14">ROUND(IF($O$6="MAX=20",Z8,IF($O$6="MAX=30",AA8,IF($O$6="MAX=40",AB8,""))),1)</f>
        <v>18.8</v>
      </c>
      <c r="P8" s="246"/>
      <c r="Q8" s="247"/>
      <c r="R8" s="293"/>
      <c r="S8" s="316">
        <f t="shared" si="8"/>
        <v>9.06</v>
      </c>
      <c r="T8" s="317">
        <f t="shared" si="9"/>
        <v>8.56</v>
      </c>
      <c r="U8" s="318">
        <f t="shared" si="10"/>
        <v>8.43</v>
      </c>
      <c r="V8" s="319">
        <f t="shared" si="11"/>
        <v>936.4</v>
      </c>
      <c r="W8" s="320">
        <f t="shared" si="12"/>
        <v>591.79999999999995</v>
      </c>
      <c r="X8" s="321">
        <f t="shared" si="13"/>
        <v>526.20000000000005</v>
      </c>
      <c r="Y8" s="308"/>
      <c r="Z8" s="322">
        <f t="shared" ref="Z8:Z31" si="15">IF(ISBLANK(B8),"",IFERROR(20*($P$3+1-$B8)/$P$3,"20.0"))</f>
        <v>18.75</v>
      </c>
      <c r="AA8" s="315">
        <f t="shared" ref="AA8:AA31" si="16">IF(ISBLANK(B8),"",IFERROR(30*($P$3+1-$B8)/$P$3,"30.0"))</f>
        <v>28.125</v>
      </c>
      <c r="AB8" s="323">
        <f t="shared" ref="AB8:AB31" si="17">IF(ISBLANK(B8),"",IFERROR(30*($P$3-$B8)/($P$3-1)+10,"20.0"))</f>
        <v>38</v>
      </c>
    </row>
    <row r="9" spans="1:28" ht="14.25">
      <c r="A9" s="204"/>
      <c r="B9" s="235">
        <v>3</v>
      </c>
      <c r="C9" s="236">
        <v>5752</v>
      </c>
      <c r="D9" s="237" t="str">
        <f t="shared" si="0"/>
        <v>アルファ</v>
      </c>
      <c r="E9" s="354">
        <f t="shared" si="1"/>
        <v>10.18</v>
      </c>
      <c r="F9" s="239">
        <v>1</v>
      </c>
      <c r="G9" s="240">
        <v>0.51712962962962961</v>
      </c>
      <c r="H9" s="236">
        <f t="shared" si="2"/>
        <v>6879.9999999999982</v>
      </c>
      <c r="I9" s="241">
        <f t="shared" si="3"/>
        <v>557</v>
      </c>
      <c r="J9" s="238"/>
      <c r="K9" s="242">
        <f t="shared" si="4"/>
        <v>585.89999999999782</v>
      </c>
      <c r="L9" s="240">
        <f t="shared" si="5"/>
        <v>1.7253472222222609E-3</v>
      </c>
      <c r="M9" s="243">
        <f t="shared" si="6"/>
        <v>13.192035398230384</v>
      </c>
      <c r="N9" s="244">
        <f t="shared" si="7"/>
        <v>5.9127906976744207</v>
      </c>
      <c r="O9" s="245">
        <f t="shared" si="14"/>
        <v>17.5</v>
      </c>
      <c r="P9" s="246"/>
      <c r="Q9" s="247"/>
      <c r="R9" s="293"/>
      <c r="S9" s="316">
        <f t="shared" si="8"/>
        <v>10.72</v>
      </c>
      <c r="T9" s="317">
        <f t="shared" si="9"/>
        <v>10.18</v>
      </c>
      <c r="U9" s="318">
        <f t="shared" si="10"/>
        <v>9.92</v>
      </c>
      <c r="V9" s="319">
        <f t="shared" si="11"/>
        <v>884.3</v>
      </c>
      <c r="W9" s="320">
        <f t="shared" si="12"/>
        <v>557</v>
      </c>
      <c r="X9" s="321">
        <f t="shared" si="13"/>
        <v>492.1</v>
      </c>
      <c r="Y9" s="308"/>
      <c r="Z9" s="322">
        <f t="shared" si="15"/>
        <v>17.5</v>
      </c>
      <c r="AA9" s="315">
        <f t="shared" si="16"/>
        <v>26.25</v>
      </c>
      <c r="AB9" s="323">
        <f t="shared" si="17"/>
        <v>36</v>
      </c>
    </row>
    <row r="10" spans="1:28" ht="14.25">
      <c r="A10" s="204"/>
      <c r="B10" s="235">
        <v>4</v>
      </c>
      <c r="C10" s="236">
        <v>321</v>
      </c>
      <c r="D10" s="237" t="str">
        <f t="shared" si="0"/>
        <v>かまくら</v>
      </c>
      <c r="E10" s="354">
        <f t="shared" si="1"/>
        <v>9.51</v>
      </c>
      <c r="F10" s="239">
        <v>4</v>
      </c>
      <c r="G10" s="240">
        <v>0.52151620370370366</v>
      </c>
      <c r="H10" s="236">
        <f t="shared" si="2"/>
        <v>7258.9999999999964</v>
      </c>
      <c r="I10" s="241">
        <f t="shared" si="3"/>
        <v>570.5</v>
      </c>
      <c r="J10" s="238"/>
      <c r="K10" s="242">
        <f t="shared" si="4"/>
        <v>812.34999999999582</v>
      </c>
      <c r="L10" s="240">
        <f t="shared" si="5"/>
        <v>4.3462962962963116E-3</v>
      </c>
      <c r="M10" s="243">
        <f t="shared" si="6"/>
        <v>33.231858407079763</v>
      </c>
      <c r="N10" s="244">
        <f t="shared" si="7"/>
        <v>5.6040776966524346</v>
      </c>
      <c r="O10" s="245">
        <f t="shared" si="14"/>
        <v>16.3</v>
      </c>
      <c r="P10" s="331"/>
      <c r="Q10" s="247"/>
      <c r="R10" s="293"/>
      <c r="S10" s="316">
        <f t="shared" si="8"/>
        <v>10.15</v>
      </c>
      <c r="T10" s="317">
        <f t="shared" si="9"/>
        <v>9.51</v>
      </c>
      <c r="U10" s="318">
        <f t="shared" si="10"/>
        <v>9.44</v>
      </c>
      <c r="V10" s="319">
        <f t="shared" si="11"/>
        <v>900.8</v>
      </c>
      <c r="W10" s="320">
        <f t="shared" si="12"/>
        <v>570.5</v>
      </c>
      <c r="X10" s="321">
        <f t="shared" si="13"/>
        <v>502.2</v>
      </c>
      <c r="Y10" s="308"/>
      <c r="Z10" s="322">
        <f t="shared" si="15"/>
        <v>16.25</v>
      </c>
      <c r="AA10" s="315">
        <f t="shared" si="16"/>
        <v>24.375</v>
      </c>
      <c r="AB10" s="323">
        <f t="shared" si="17"/>
        <v>34</v>
      </c>
    </row>
    <row r="11" spans="1:28" ht="14.25">
      <c r="A11" s="204"/>
      <c r="B11" s="248">
        <v>5</v>
      </c>
      <c r="C11" s="249">
        <v>380</v>
      </c>
      <c r="D11" s="250" t="str">
        <f t="shared" si="0"/>
        <v>テティス</v>
      </c>
      <c r="E11" s="355">
        <f t="shared" si="1"/>
        <v>10.23</v>
      </c>
      <c r="F11" s="252">
        <v>5</v>
      </c>
      <c r="G11" s="253">
        <v>0.52252314814814815</v>
      </c>
      <c r="H11" s="254">
        <f t="shared" si="2"/>
        <v>7346</v>
      </c>
      <c r="I11" s="255">
        <f t="shared" si="3"/>
        <v>556.20000000000005</v>
      </c>
      <c r="J11" s="256"/>
      <c r="K11" s="257">
        <f t="shared" si="4"/>
        <v>1060.9399999999987</v>
      </c>
      <c r="L11" s="258">
        <f t="shared" si="5"/>
        <v>7.2234953703704191E-3</v>
      </c>
      <c r="M11" s="259">
        <f t="shared" si="6"/>
        <v>55.230973451327806</v>
      </c>
      <c r="N11" s="260">
        <f t="shared" si="7"/>
        <v>5.5377075959705966</v>
      </c>
      <c r="O11" s="261">
        <f t="shared" si="14"/>
        <v>15</v>
      </c>
      <c r="P11" s="262"/>
      <c r="Q11" s="263"/>
      <c r="R11" s="293"/>
      <c r="S11" s="316">
        <f t="shared" si="8"/>
        <v>10.44</v>
      </c>
      <c r="T11" s="317">
        <f t="shared" si="9"/>
        <v>10.23</v>
      </c>
      <c r="U11" s="318">
        <f t="shared" si="10"/>
        <v>9.94</v>
      </c>
      <c r="V11" s="319">
        <f t="shared" si="11"/>
        <v>892.3</v>
      </c>
      <c r="W11" s="320">
        <f t="shared" si="12"/>
        <v>556.20000000000005</v>
      </c>
      <c r="X11" s="321">
        <f t="shared" si="13"/>
        <v>491.8</v>
      </c>
      <c r="Y11" s="308"/>
      <c r="Z11" s="322">
        <f t="shared" si="15"/>
        <v>15</v>
      </c>
      <c r="AA11" s="315">
        <f t="shared" si="16"/>
        <v>22.5</v>
      </c>
      <c r="AB11" s="323">
        <f t="shared" si="17"/>
        <v>32</v>
      </c>
    </row>
    <row r="12" spans="1:28" ht="14.25">
      <c r="A12" s="204"/>
      <c r="B12" s="222">
        <v>6</v>
      </c>
      <c r="C12" s="223">
        <v>1733</v>
      </c>
      <c r="D12" s="224" t="str">
        <f t="shared" si="0"/>
        <v>ケロニア</v>
      </c>
      <c r="E12" s="353">
        <f t="shared" si="1"/>
        <v>9.44</v>
      </c>
      <c r="F12" s="226">
        <v>7</v>
      </c>
      <c r="G12" s="227">
        <v>0.5261689814814815</v>
      </c>
      <c r="H12" s="223">
        <f t="shared" si="2"/>
        <v>7661.0000000000018</v>
      </c>
      <c r="I12" s="228">
        <f t="shared" si="3"/>
        <v>572.1</v>
      </c>
      <c r="J12" s="225"/>
      <c r="K12" s="229">
        <f t="shared" si="4"/>
        <v>1196.2700000000013</v>
      </c>
      <c r="L12" s="227">
        <f t="shared" si="5"/>
        <v>8.7898148148148943E-3</v>
      </c>
      <c r="M12" s="230">
        <f t="shared" si="6"/>
        <v>67.2070796460183</v>
      </c>
      <c r="N12" s="231">
        <f t="shared" si="7"/>
        <v>5.3100117478136006</v>
      </c>
      <c r="O12" s="232">
        <f t="shared" si="14"/>
        <v>13.8</v>
      </c>
      <c r="P12" s="204"/>
      <c r="Q12" s="234"/>
      <c r="R12" s="293"/>
      <c r="S12" s="316">
        <f t="shared" si="8"/>
        <v>9.67</v>
      </c>
      <c r="T12" s="317">
        <f t="shared" si="9"/>
        <v>9.44</v>
      </c>
      <c r="U12" s="318">
        <f t="shared" si="10"/>
        <v>9.35</v>
      </c>
      <c r="V12" s="319">
        <f t="shared" si="11"/>
        <v>915.7</v>
      </c>
      <c r="W12" s="320">
        <f t="shared" si="12"/>
        <v>572.1</v>
      </c>
      <c r="X12" s="321">
        <f t="shared" si="13"/>
        <v>504.3</v>
      </c>
      <c r="Y12" s="308"/>
      <c r="Z12" s="322">
        <f t="shared" si="15"/>
        <v>13.75</v>
      </c>
      <c r="AA12" s="315">
        <f t="shared" si="16"/>
        <v>20.625</v>
      </c>
      <c r="AB12" s="323">
        <f t="shared" si="17"/>
        <v>30</v>
      </c>
    </row>
    <row r="13" spans="1:28" ht="14.25">
      <c r="A13" s="204"/>
      <c r="B13" s="235">
        <v>7</v>
      </c>
      <c r="C13" s="236">
        <v>6793</v>
      </c>
      <c r="D13" s="237" t="str">
        <f t="shared" si="0"/>
        <v>Miss Nippon Ⅷ</v>
      </c>
      <c r="E13" s="354">
        <f t="shared" si="1"/>
        <v>10.61</v>
      </c>
      <c r="F13" s="239">
        <v>6</v>
      </c>
      <c r="G13" s="240">
        <v>0.5252430555555555</v>
      </c>
      <c r="H13" s="236">
        <f t="shared" si="2"/>
        <v>7580.9999999999955</v>
      </c>
      <c r="I13" s="241">
        <f t="shared" si="3"/>
        <v>549.1</v>
      </c>
      <c r="J13" s="238"/>
      <c r="K13" s="242">
        <f t="shared" si="4"/>
        <v>1376.1699999999946</v>
      </c>
      <c r="L13" s="240">
        <f t="shared" si="5"/>
        <v>1.0871990740740743E-2</v>
      </c>
      <c r="M13" s="243">
        <f t="shared" si="6"/>
        <v>83.127433628318585</v>
      </c>
      <c r="N13" s="244">
        <f t="shared" si="7"/>
        <v>5.3660466956865882</v>
      </c>
      <c r="O13" s="245">
        <f t="shared" si="14"/>
        <v>12.5</v>
      </c>
      <c r="P13" s="281"/>
      <c r="Q13" s="247"/>
      <c r="R13" s="293"/>
      <c r="S13" s="316">
        <f t="shared" si="8"/>
        <v>10.86</v>
      </c>
      <c r="T13" s="317">
        <f t="shared" si="9"/>
        <v>10.61</v>
      </c>
      <c r="U13" s="318">
        <f t="shared" si="10"/>
        <v>10.23</v>
      </c>
      <c r="V13" s="319">
        <f t="shared" si="11"/>
        <v>880.5</v>
      </c>
      <c r="W13" s="320">
        <f t="shared" si="12"/>
        <v>549.1</v>
      </c>
      <c r="X13" s="321">
        <f t="shared" si="13"/>
        <v>486.1</v>
      </c>
      <c r="Y13" s="308"/>
      <c r="Z13" s="322">
        <f t="shared" si="15"/>
        <v>12.5</v>
      </c>
      <c r="AA13" s="315">
        <f t="shared" si="16"/>
        <v>18.75</v>
      </c>
      <c r="AB13" s="323">
        <f t="shared" si="17"/>
        <v>28</v>
      </c>
    </row>
    <row r="14" spans="1:28" ht="14.25">
      <c r="A14" s="204"/>
      <c r="B14" s="235">
        <v>8</v>
      </c>
      <c r="C14" s="236">
        <v>1985</v>
      </c>
      <c r="D14" s="237" t="str">
        <f t="shared" si="0"/>
        <v>波勝</v>
      </c>
      <c r="E14" s="354">
        <f t="shared" si="1"/>
        <v>6.97</v>
      </c>
      <c r="F14" s="239">
        <v>8</v>
      </c>
      <c r="G14" s="240">
        <v>0.53703703703703709</v>
      </c>
      <c r="H14" s="236">
        <f t="shared" si="2"/>
        <v>8600.0000000000055</v>
      </c>
      <c r="I14" s="241">
        <f t="shared" si="3"/>
        <v>636</v>
      </c>
      <c r="J14" s="238"/>
      <c r="K14" s="242">
        <f t="shared" si="4"/>
        <v>1413.2000000000053</v>
      </c>
      <c r="L14" s="240">
        <f t="shared" si="5"/>
        <v>1.1300578703703828E-2</v>
      </c>
      <c r="M14" s="243">
        <f t="shared" si="6"/>
        <v>86.404424778762007</v>
      </c>
      <c r="N14" s="244">
        <f t="shared" si="7"/>
        <v>4.7302325581395319</v>
      </c>
      <c r="O14" s="245">
        <f t="shared" si="14"/>
        <v>11.3</v>
      </c>
      <c r="P14" s="246"/>
      <c r="Q14" s="247"/>
      <c r="R14" s="293"/>
      <c r="S14" s="316">
        <f t="shared" si="8"/>
        <v>7.33</v>
      </c>
      <c r="T14" s="317">
        <f t="shared" si="9"/>
        <v>6.97</v>
      </c>
      <c r="U14" s="318">
        <f t="shared" si="10"/>
        <v>6.85</v>
      </c>
      <c r="V14" s="319">
        <f t="shared" si="11"/>
        <v>1006.4</v>
      </c>
      <c r="W14" s="320">
        <f t="shared" si="12"/>
        <v>636</v>
      </c>
      <c r="X14" s="321">
        <f t="shared" si="13"/>
        <v>572.79999999999995</v>
      </c>
      <c r="Y14" s="308"/>
      <c r="Z14" s="322">
        <f t="shared" si="15"/>
        <v>11.25</v>
      </c>
      <c r="AA14" s="315">
        <f t="shared" si="16"/>
        <v>16.875</v>
      </c>
      <c r="AB14" s="323">
        <f t="shared" si="17"/>
        <v>26</v>
      </c>
    </row>
    <row r="15" spans="1:28" ht="14.25">
      <c r="A15" s="204"/>
      <c r="B15" s="235">
        <v>9</v>
      </c>
      <c r="C15" s="236">
        <v>162</v>
      </c>
      <c r="D15" s="237" t="str">
        <f t="shared" si="0"/>
        <v>ﾌｪﾆｯｸｽ</v>
      </c>
      <c r="E15" s="354">
        <f t="shared" si="1"/>
        <v>6.84</v>
      </c>
      <c r="F15" s="239">
        <v>11</v>
      </c>
      <c r="G15" s="240">
        <v>0.54642361111111104</v>
      </c>
      <c r="H15" s="236">
        <f t="shared" si="2"/>
        <v>9410.9999999999945</v>
      </c>
      <c r="I15" s="241">
        <f t="shared" si="3"/>
        <v>640.4</v>
      </c>
      <c r="J15" s="238"/>
      <c r="K15" s="242">
        <f t="shared" si="4"/>
        <v>2174.4799999999941</v>
      </c>
      <c r="L15" s="240">
        <f t="shared" si="5"/>
        <v>2.0111689814814811E-2</v>
      </c>
      <c r="M15" s="243">
        <f t="shared" si="6"/>
        <v>153.77433628318579</v>
      </c>
      <c r="N15" s="244">
        <f t="shared" si="7"/>
        <v>4.3226012113484256</v>
      </c>
      <c r="O15" s="245">
        <f t="shared" si="14"/>
        <v>10</v>
      </c>
      <c r="P15" s="281"/>
      <c r="Q15" s="247"/>
      <c r="R15" s="293"/>
      <c r="S15" s="316">
        <f t="shared" si="8"/>
        <v>6.96</v>
      </c>
      <c r="T15" s="317">
        <f t="shared" si="9"/>
        <v>6.84</v>
      </c>
      <c r="U15" s="318">
        <f t="shared" si="10"/>
        <v>6.95</v>
      </c>
      <c r="V15" s="319">
        <f t="shared" si="11"/>
        <v>1024.3</v>
      </c>
      <c r="W15" s="320">
        <f t="shared" si="12"/>
        <v>640.4</v>
      </c>
      <c r="X15" s="321">
        <f t="shared" si="13"/>
        <v>569.4</v>
      </c>
      <c r="Y15" s="308"/>
      <c r="Z15" s="322">
        <f t="shared" si="15"/>
        <v>10</v>
      </c>
      <c r="AA15" s="315">
        <f t="shared" si="16"/>
        <v>15</v>
      </c>
      <c r="AB15" s="323">
        <f t="shared" si="17"/>
        <v>24</v>
      </c>
    </row>
    <row r="16" spans="1:28" ht="14.25">
      <c r="A16" s="204"/>
      <c r="B16" s="248">
        <v>10</v>
      </c>
      <c r="C16" s="249">
        <v>131</v>
      </c>
      <c r="D16" s="250" t="str">
        <f t="shared" si="0"/>
        <v>ふるたか</v>
      </c>
      <c r="E16" s="355">
        <f t="shared" si="1"/>
        <v>8.31</v>
      </c>
      <c r="F16" s="252">
        <v>10</v>
      </c>
      <c r="G16" s="253">
        <v>0.54484953703703709</v>
      </c>
      <c r="H16" s="249">
        <f t="shared" si="2"/>
        <v>9275.0000000000055</v>
      </c>
      <c r="I16" s="265">
        <f t="shared" si="3"/>
        <v>598.20000000000005</v>
      </c>
      <c r="J16" s="251"/>
      <c r="K16" s="267">
        <f t="shared" si="4"/>
        <v>2515.3400000000047</v>
      </c>
      <c r="L16" s="253">
        <f t="shared" si="5"/>
        <v>2.4056828703703823E-2</v>
      </c>
      <c r="M16" s="268">
        <f t="shared" si="6"/>
        <v>183.93893805309824</v>
      </c>
      <c r="N16" s="269">
        <f t="shared" si="7"/>
        <v>4.3859838274932592</v>
      </c>
      <c r="O16" s="270">
        <f t="shared" si="14"/>
        <v>8.8000000000000007</v>
      </c>
      <c r="P16" s="333"/>
      <c r="Q16" s="263"/>
      <c r="R16" s="293"/>
      <c r="S16" s="316">
        <f t="shared" si="8"/>
        <v>8.2899999999999991</v>
      </c>
      <c r="T16" s="317">
        <f t="shared" si="9"/>
        <v>8.31</v>
      </c>
      <c r="U16" s="318">
        <f t="shared" si="10"/>
        <v>8.0500000000000007</v>
      </c>
      <c r="V16" s="319">
        <f t="shared" si="11"/>
        <v>965.1</v>
      </c>
      <c r="W16" s="320">
        <f t="shared" si="12"/>
        <v>598.20000000000005</v>
      </c>
      <c r="X16" s="321">
        <f t="shared" si="13"/>
        <v>536.29999999999995</v>
      </c>
      <c r="Y16" s="308"/>
      <c r="Z16" s="322">
        <f t="shared" si="15"/>
        <v>8.75</v>
      </c>
      <c r="AA16" s="315">
        <f t="shared" si="16"/>
        <v>13.125</v>
      </c>
      <c r="AB16" s="323">
        <f t="shared" si="17"/>
        <v>22</v>
      </c>
    </row>
    <row r="17" spans="1:28" ht="14.25">
      <c r="A17" s="204"/>
      <c r="B17" s="222">
        <v>11</v>
      </c>
      <c r="C17" s="223">
        <v>2212</v>
      </c>
      <c r="D17" s="224" t="str">
        <f t="shared" si="0"/>
        <v>衣笠</v>
      </c>
      <c r="E17" s="353">
        <f t="shared" si="1"/>
        <v>8.9</v>
      </c>
      <c r="F17" s="226">
        <v>9</v>
      </c>
      <c r="G17" s="227">
        <v>0.54321759259259261</v>
      </c>
      <c r="H17" s="271">
        <f t="shared" si="2"/>
        <v>9134.0000000000018</v>
      </c>
      <c r="I17" s="272">
        <f t="shared" si="3"/>
        <v>584</v>
      </c>
      <c r="J17" s="576"/>
      <c r="K17" s="274">
        <f t="shared" si="4"/>
        <v>2534.8000000000011</v>
      </c>
      <c r="L17" s="275">
        <f t="shared" si="5"/>
        <v>2.4282060185185261E-2</v>
      </c>
      <c r="M17" s="276">
        <f t="shared" si="6"/>
        <v>185.66106194690323</v>
      </c>
      <c r="N17" s="277">
        <f t="shared" si="7"/>
        <v>4.4536895117144732</v>
      </c>
      <c r="O17" s="232">
        <f t="shared" si="14"/>
        <v>7.5</v>
      </c>
      <c r="P17" s="349"/>
      <c r="Q17" s="234"/>
      <c r="R17" s="293"/>
      <c r="S17" s="316">
        <f t="shared" si="8"/>
        <v>8.8000000000000007</v>
      </c>
      <c r="T17" s="317">
        <f t="shared" si="9"/>
        <v>8.9</v>
      </c>
      <c r="U17" s="318">
        <f t="shared" si="10"/>
        <v>9.0399999999999991</v>
      </c>
      <c r="V17" s="319">
        <f t="shared" si="11"/>
        <v>945.7</v>
      </c>
      <c r="W17" s="320">
        <f t="shared" si="12"/>
        <v>584</v>
      </c>
      <c r="X17" s="321">
        <f t="shared" si="13"/>
        <v>511.4</v>
      </c>
      <c r="Y17" s="308"/>
      <c r="Z17" s="322">
        <f t="shared" si="15"/>
        <v>7.5</v>
      </c>
      <c r="AA17" s="315">
        <f t="shared" si="16"/>
        <v>11.25</v>
      </c>
      <c r="AB17" s="323">
        <f t="shared" si="17"/>
        <v>20</v>
      </c>
    </row>
    <row r="18" spans="1:28" ht="14.25">
      <c r="A18" s="204"/>
      <c r="B18" s="235">
        <v>12</v>
      </c>
      <c r="C18" s="236">
        <v>1611</v>
      </c>
      <c r="D18" s="237" t="str">
        <f t="shared" si="0"/>
        <v>ﾈﾌﾟﾁｭｰﾝXⅡ</v>
      </c>
      <c r="E18" s="354">
        <f t="shared" si="1"/>
        <v>8.15</v>
      </c>
      <c r="F18" s="239">
        <v>13</v>
      </c>
      <c r="G18" s="240">
        <v>0.54893518518518525</v>
      </c>
      <c r="H18" s="236">
        <f t="shared" si="2"/>
        <v>9628.0000000000055</v>
      </c>
      <c r="I18" s="241">
        <f t="shared" si="3"/>
        <v>602.20000000000005</v>
      </c>
      <c r="J18" s="238"/>
      <c r="K18" s="242">
        <f t="shared" si="4"/>
        <v>2823.1400000000049</v>
      </c>
      <c r="L18" s="240">
        <f t="shared" si="5"/>
        <v>2.7619328703703823E-2</v>
      </c>
      <c r="M18" s="243">
        <f t="shared" si="6"/>
        <v>211.17787610619561</v>
      </c>
      <c r="N18" s="244">
        <f t="shared" si="7"/>
        <v>4.2251765683423326</v>
      </c>
      <c r="O18" s="245">
        <f t="shared" si="14"/>
        <v>6.3</v>
      </c>
      <c r="P18" s="281"/>
      <c r="Q18" s="247"/>
      <c r="R18" s="293"/>
      <c r="S18" s="316">
        <f t="shared" si="8"/>
        <v>8.2100000000000009</v>
      </c>
      <c r="T18" s="317">
        <f t="shared" si="9"/>
        <v>8.15</v>
      </c>
      <c r="U18" s="318">
        <f t="shared" si="10"/>
        <v>7.98</v>
      </c>
      <c r="V18" s="319">
        <f t="shared" si="11"/>
        <v>968.4</v>
      </c>
      <c r="W18" s="320">
        <f t="shared" si="12"/>
        <v>602.20000000000005</v>
      </c>
      <c r="X18" s="321">
        <f t="shared" si="13"/>
        <v>538.1</v>
      </c>
      <c r="Y18" s="308"/>
      <c r="Z18" s="322">
        <f t="shared" si="15"/>
        <v>6.25</v>
      </c>
      <c r="AA18" s="315">
        <f t="shared" si="16"/>
        <v>9.375</v>
      </c>
      <c r="AB18" s="323">
        <f t="shared" si="17"/>
        <v>18</v>
      </c>
    </row>
    <row r="19" spans="1:28" ht="14.25">
      <c r="A19" s="204"/>
      <c r="B19" s="235">
        <v>13</v>
      </c>
      <c r="C19" s="236">
        <v>346</v>
      </c>
      <c r="D19" s="237" t="str">
        <f t="shared" si="0"/>
        <v>飛車角</v>
      </c>
      <c r="E19" s="354">
        <f t="shared" si="1"/>
        <v>8.58</v>
      </c>
      <c r="F19" s="239">
        <v>12</v>
      </c>
      <c r="G19" s="240">
        <v>0.54839120370370364</v>
      </c>
      <c r="H19" s="236">
        <f t="shared" si="2"/>
        <v>9580.9999999999945</v>
      </c>
      <c r="I19" s="241">
        <f t="shared" si="3"/>
        <v>591.5</v>
      </c>
      <c r="J19" s="238"/>
      <c r="K19" s="242">
        <f t="shared" si="4"/>
        <v>2897.0499999999938</v>
      </c>
      <c r="L19" s="240">
        <f t="shared" si="5"/>
        <v>2.847476851851851E-2</v>
      </c>
      <c r="M19" s="243">
        <f t="shared" si="6"/>
        <v>217.7185840707964</v>
      </c>
      <c r="N19" s="244">
        <f t="shared" si="7"/>
        <v>4.2459033503809644</v>
      </c>
      <c r="O19" s="245">
        <f t="shared" si="14"/>
        <v>5</v>
      </c>
      <c r="P19" s="281"/>
      <c r="Q19" s="247"/>
      <c r="R19" s="293"/>
      <c r="S19" s="316">
        <f t="shared" si="8"/>
        <v>8.61</v>
      </c>
      <c r="T19" s="317">
        <f t="shared" si="9"/>
        <v>8.58</v>
      </c>
      <c r="U19" s="318">
        <f t="shared" si="10"/>
        <v>8.68</v>
      </c>
      <c r="V19" s="319">
        <f t="shared" si="11"/>
        <v>952.6</v>
      </c>
      <c r="W19" s="320">
        <f t="shared" si="12"/>
        <v>591.5</v>
      </c>
      <c r="X19" s="321">
        <f t="shared" si="13"/>
        <v>519.79999999999995</v>
      </c>
      <c r="Y19" s="308"/>
      <c r="Z19" s="322">
        <f t="shared" si="15"/>
        <v>5</v>
      </c>
      <c r="AA19" s="315">
        <f t="shared" si="16"/>
        <v>7.5</v>
      </c>
      <c r="AB19" s="323">
        <f t="shared" si="17"/>
        <v>16</v>
      </c>
    </row>
    <row r="20" spans="1:28" ht="14.25">
      <c r="A20" s="204"/>
      <c r="B20" s="235">
        <v>14</v>
      </c>
      <c r="C20" s="236">
        <v>1545</v>
      </c>
      <c r="D20" s="237" t="str">
        <f t="shared" si="0"/>
        <v>ﾌﾙｰﾄﾞﾘｽⅦ</v>
      </c>
      <c r="E20" s="354">
        <f t="shared" si="1"/>
        <v>8.4600000000000009</v>
      </c>
      <c r="F20" s="239">
        <v>14</v>
      </c>
      <c r="G20" s="240">
        <v>0.55629629629629629</v>
      </c>
      <c r="H20" s="236">
        <f t="shared" si="2"/>
        <v>10264</v>
      </c>
      <c r="I20" s="241">
        <f t="shared" si="3"/>
        <v>594.29999999999995</v>
      </c>
      <c r="J20" s="238"/>
      <c r="K20" s="242">
        <f t="shared" si="4"/>
        <v>3548.41</v>
      </c>
      <c r="L20" s="240">
        <f t="shared" si="5"/>
        <v>3.6013657407407466E-2</v>
      </c>
      <c r="M20" s="243">
        <f t="shared" si="6"/>
        <v>275.36106194690313</v>
      </c>
      <c r="N20" s="244">
        <f t="shared" si="7"/>
        <v>3.963367108339829</v>
      </c>
      <c r="O20" s="245">
        <f t="shared" si="14"/>
        <v>3.8</v>
      </c>
      <c r="P20" s="349"/>
      <c r="Q20" s="247"/>
      <c r="R20" s="293"/>
      <c r="S20" s="316">
        <f t="shared" si="8"/>
        <v>8.9700000000000006</v>
      </c>
      <c r="T20" s="317">
        <f t="shared" si="9"/>
        <v>8.4600000000000009</v>
      </c>
      <c r="U20" s="318">
        <f t="shared" si="10"/>
        <v>8.1999999999999993</v>
      </c>
      <c r="V20" s="319">
        <f t="shared" si="11"/>
        <v>939.7</v>
      </c>
      <c r="W20" s="320">
        <f t="shared" si="12"/>
        <v>594.29999999999995</v>
      </c>
      <c r="X20" s="321">
        <f t="shared" si="13"/>
        <v>532.1</v>
      </c>
      <c r="Y20" s="308"/>
      <c r="Z20" s="322">
        <f t="shared" si="15"/>
        <v>3.75</v>
      </c>
      <c r="AA20" s="315">
        <f t="shared" si="16"/>
        <v>5.625</v>
      </c>
      <c r="AB20" s="323">
        <f t="shared" si="17"/>
        <v>14</v>
      </c>
    </row>
    <row r="21" spans="1:28" ht="14.25">
      <c r="A21" s="204"/>
      <c r="B21" s="248"/>
      <c r="C21" s="249">
        <v>199</v>
      </c>
      <c r="D21" s="250" t="str">
        <f t="shared" ref="D21:D24" si="18">IF(ISBLANK(C21),"",VLOOKUP(C21,各艇データ,2,FALSE))</f>
        <v>サ－モン4</v>
      </c>
      <c r="E21" s="251">
        <f t="shared" ref="E21:E22" si="19">IF($I$6="Ⅰ",S21,IF($I$6="Ⅱ",T21,IF($I$6="Ⅲ",U21,"")))</f>
        <v>9.15</v>
      </c>
      <c r="F21" s="252"/>
      <c r="G21" s="253">
        <v>0.51991898148148141</v>
      </c>
      <c r="H21" s="249">
        <f t="shared" ref="H21:H22" si="20">IFERROR(IF(G21-$Q$2&lt;=0,"",(G21-$Q$2)*86400),"")</f>
        <v>7120.9999999999936</v>
      </c>
      <c r="I21" s="265">
        <f t="shared" ref="I21:I22" si="21">IF($I$6="Ⅰ",V21,IF($I$6="Ⅱ",W21,IF($I$6="Ⅲ",X21,"")))</f>
        <v>578.20000000000005</v>
      </c>
      <c r="J21" s="251"/>
      <c r="K21" s="267" t="s">
        <v>438</v>
      </c>
      <c r="L21" s="253"/>
      <c r="M21" s="268"/>
      <c r="N21" s="269"/>
      <c r="O21" s="270">
        <v>1</v>
      </c>
      <c r="P21" s="333" t="s">
        <v>439</v>
      </c>
      <c r="Q21" s="263"/>
      <c r="R21" s="293"/>
      <c r="S21" s="316">
        <f t="shared" si="8"/>
        <v>9.24</v>
      </c>
      <c r="T21" s="317">
        <f t="shared" si="9"/>
        <v>9.15</v>
      </c>
      <c r="U21" s="318">
        <f t="shared" si="10"/>
        <v>9.1</v>
      </c>
      <c r="V21" s="319">
        <f t="shared" si="11"/>
        <v>930.3</v>
      </c>
      <c r="W21" s="320">
        <f t="shared" si="12"/>
        <v>578.20000000000005</v>
      </c>
      <c r="X21" s="321">
        <f t="shared" si="13"/>
        <v>509.9</v>
      </c>
      <c r="Y21" s="308"/>
      <c r="Z21" s="322" t="str">
        <f t="shared" si="15"/>
        <v/>
      </c>
      <c r="AA21" s="315" t="str">
        <f t="shared" si="16"/>
        <v/>
      </c>
      <c r="AB21" s="323" t="str">
        <f t="shared" si="17"/>
        <v/>
      </c>
    </row>
    <row r="22" spans="1:28" ht="14.25">
      <c r="A22" s="204"/>
      <c r="B22" s="279"/>
      <c r="C22" s="356">
        <v>312</v>
      </c>
      <c r="D22" s="284" t="str">
        <f t="shared" si="18"/>
        <v>はやとり</v>
      </c>
      <c r="E22" s="225">
        <f t="shared" si="19"/>
        <v>8.2200000000000006</v>
      </c>
      <c r="F22" s="285"/>
      <c r="G22" s="275">
        <v>0.54997685185185186</v>
      </c>
      <c r="H22" s="271">
        <f t="shared" si="20"/>
        <v>9718</v>
      </c>
      <c r="I22" s="272">
        <f t="shared" si="21"/>
        <v>600.29999999999995</v>
      </c>
      <c r="J22" s="273"/>
      <c r="K22" s="274" t="s">
        <v>438</v>
      </c>
      <c r="L22" s="275"/>
      <c r="M22" s="276"/>
      <c r="N22" s="277"/>
      <c r="O22" s="232">
        <v>1</v>
      </c>
      <c r="P22" s="357" t="s">
        <v>439</v>
      </c>
      <c r="Q22" s="280"/>
      <c r="R22" s="293"/>
      <c r="S22" s="316">
        <f t="shared" si="8"/>
        <v>8.31</v>
      </c>
      <c r="T22" s="317">
        <f t="shared" si="9"/>
        <v>8.2200000000000006</v>
      </c>
      <c r="U22" s="318">
        <f t="shared" si="10"/>
        <v>8.1300000000000008</v>
      </c>
      <c r="V22" s="319">
        <f t="shared" si="11"/>
        <v>964.4</v>
      </c>
      <c r="W22" s="320">
        <f t="shared" si="12"/>
        <v>600.29999999999995</v>
      </c>
      <c r="X22" s="321">
        <f t="shared" si="13"/>
        <v>534</v>
      </c>
      <c r="Y22" s="308"/>
      <c r="Z22" s="322" t="str">
        <f t="shared" si="15"/>
        <v/>
      </c>
      <c r="AA22" s="315" t="str">
        <f t="shared" si="16"/>
        <v/>
      </c>
      <c r="AB22" s="323" t="str">
        <f t="shared" si="17"/>
        <v/>
      </c>
    </row>
    <row r="23" spans="1:28" ht="14.25">
      <c r="A23" s="204"/>
      <c r="B23" s="235"/>
      <c r="C23" s="236"/>
      <c r="D23" s="237" t="str">
        <f t="shared" ref="D23" si="22">IF(ISBLANK(C23),"",VLOOKUP(C23,各艇データ,2,FALSE))</f>
        <v/>
      </c>
      <c r="E23" s="238"/>
      <c r="F23" s="239"/>
      <c r="G23" s="240"/>
      <c r="H23" s="236"/>
      <c r="I23" s="241"/>
      <c r="J23" s="238"/>
      <c r="K23" s="242"/>
      <c r="L23" s="240"/>
      <c r="M23" s="243"/>
      <c r="N23" s="244"/>
      <c r="O23" s="245"/>
      <c r="P23" s="281"/>
      <c r="Q23" s="247"/>
      <c r="R23" s="293"/>
      <c r="S23" s="316" t="str">
        <f t="shared" si="8"/>
        <v/>
      </c>
      <c r="T23" s="317" t="str">
        <f t="shared" si="9"/>
        <v/>
      </c>
      <c r="U23" s="318" t="str">
        <f t="shared" si="10"/>
        <v/>
      </c>
      <c r="V23" s="319" t="str">
        <f t="shared" si="11"/>
        <v/>
      </c>
      <c r="W23" s="320" t="str">
        <f t="shared" si="12"/>
        <v/>
      </c>
      <c r="X23" s="321" t="str">
        <f t="shared" si="13"/>
        <v/>
      </c>
      <c r="Y23" s="308"/>
      <c r="Z23" s="322" t="str">
        <f t="shared" si="15"/>
        <v/>
      </c>
      <c r="AA23" s="315" t="str">
        <f t="shared" si="16"/>
        <v/>
      </c>
      <c r="AB23" s="323" t="str">
        <f t="shared" si="17"/>
        <v/>
      </c>
    </row>
    <row r="24" spans="1:28" ht="14.25">
      <c r="A24" s="204"/>
      <c r="B24" s="279"/>
      <c r="C24" s="236">
        <v>4469</v>
      </c>
      <c r="D24" s="284" t="str">
        <f t="shared" si="18"/>
        <v>未央</v>
      </c>
      <c r="E24" s="238"/>
      <c r="F24" s="239"/>
      <c r="G24" s="240"/>
      <c r="H24" s="236"/>
      <c r="I24" s="241"/>
      <c r="J24" s="238"/>
      <c r="K24" s="242"/>
      <c r="L24" s="240"/>
      <c r="M24" s="243"/>
      <c r="N24" s="244"/>
      <c r="O24" s="245">
        <v>1</v>
      </c>
      <c r="P24" s="282" t="s">
        <v>442</v>
      </c>
      <c r="Q24" s="247"/>
      <c r="R24" s="293"/>
      <c r="S24" s="316">
        <f t="shared" si="8"/>
        <v>6.54</v>
      </c>
      <c r="T24" s="317">
        <f t="shared" si="9"/>
        <v>6.6</v>
      </c>
      <c r="U24" s="318">
        <f t="shared" si="10"/>
        <v>6.69</v>
      </c>
      <c r="V24" s="319">
        <f t="shared" si="11"/>
        <v>1046.0999999999999</v>
      </c>
      <c r="W24" s="320">
        <f t="shared" si="12"/>
        <v>648.5</v>
      </c>
      <c r="X24" s="321">
        <f t="shared" si="13"/>
        <v>578.4</v>
      </c>
      <c r="Y24" s="308"/>
      <c r="Z24" s="322" t="str">
        <f t="shared" si="15"/>
        <v/>
      </c>
      <c r="AA24" s="315" t="str">
        <f t="shared" si="16"/>
        <v/>
      </c>
      <c r="AB24" s="323" t="str">
        <f t="shared" si="17"/>
        <v/>
      </c>
    </row>
    <row r="25" spans="1:28" ht="14.25">
      <c r="A25" s="204"/>
      <c r="B25" s="235"/>
      <c r="C25" s="236"/>
      <c r="D25" s="237" t="str">
        <f t="shared" ref="D25:D31" si="23">IF(ISBLANK(C25),"",VLOOKUP(C25,各艇データ,2,FALSE))</f>
        <v/>
      </c>
      <c r="E25" s="238"/>
      <c r="F25" s="239"/>
      <c r="G25" s="240"/>
      <c r="H25" s="236"/>
      <c r="I25" s="241"/>
      <c r="J25" s="238"/>
      <c r="K25" s="242"/>
      <c r="L25" s="240"/>
      <c r="M25" s="243"/>
      <c r="N25" s="244"/>
      <c r="O25" s="245"/>
      <c r="P25" s="282"/>
      <c r="Q25" s="247"/>
      <c r="R25" s="293"/>
      <c r="S25" s="316" t="str">
        <f t="shared" si="8"/>
        <v/>
      </c>
      <c r="T25" s="317" t="str">
        <f t="shared" si="9"/>
        <v/>
      </c>
      <c r="U25" s="318" t="str">
        <f t="shared" si="10"/>
        <v/>
      </c>
      <c r="V25" s="319" t="str">
        <f t="shared" si="11"/>
        <v/>
      </c>
      <c r="W25" s="320" t="str">
        <f t="shared" si="12"/>
        <v/>
      </c>
      <c r="X25" s="321" t="str">
        <f t="shared" si="13"/>
        <v/>
      </c>
      <c r="Y25" s="308"/>
      <c r="Z25" s="322" t="str">
        <f t="shared" si="15"/>
        <v/>
      </c>
      <c r="AA25" s="315" t="str">
        <f t="shared" si="16"/>
        <v/>
      </c>
      <c r="AB25" s="323" t="str">
        <f t="shared" si="17"/>
        <v/>
      </c>
    </row>
    <row r="26" spans="1:28" ht="14.25">
      <c r="A26" s="204"/>
      <c r="B26" s="248"/>
      <c r="C26" s="249"/>
      <c r="D26" s="250" t="str">
        <f t="shared" si="23"/>
        <v/>
      </c>
      <c r="E26" s="251"/>
      <c r="F26" s="252"/>
      <c r="G26" s="253"/>
      <c r="H26" s="249" t="str">
        <f>IFERROR(IF(G26-$Q$2&lt;=0,"",(G26-$Q$2)*86400),"")</f>
        <v/>
      </c>
      <c r="I26" s="265" t="str">
        <f>IF($I$6="Ⅰ",V26,IF($I$6="Ⅱ",W26,IF($I$6="Ⅲ",X26,"")))</f>
        <v/>
      </c>
      <c r="J26" s="251"/>
      <c r="K26" s="267" t="str">
        <f>IFERROR(H26*(1+0.01*J26)-I26*$N$3,"")</f>
        <v/>
      </c>
      <c r="L26" s="253" t="str">
        <f>IFERROR((K26-$K$7)/86400,"")</f>
        <v/>
      </c>
      <c r="M26" s="268" t="str">
        <f>IFERROR((K26-$K$7)/$N$3,"")</f>
        <v/>
      </c>
      <c r="N26" s="269" t="str">
        <f>IFERROR($N$3/(H26/3600),"")</f>
        <v/>
      </c>
      <c r="O26" s="270" t="str">
        <f>IF($O$6="MAX=20",Z26,IF($O$6="MAX=30",AA26,IF($O$6="MAX=40",AB26,"")))</f>
        <v/>
      </c>
      <c r="P26" s="283"/>
      <c r="Q26" s="263"/>
      <c r="R26" s="293"/>
      <c r="S26" s="316" t="str">
        <f t="shared" si="8"/>
        <v/>
      </c>
      <c r="T26" s="317" t="str">
        <f t="shared" si="9"/>
        <v/>
      </c>
      <c r="U26" s="318" t="str">
        <f t="shared" si="10"/>
        <v/>
      </c>
      <c r="V26" s="319" t="str">
        <f t="shared" si="11"/>
        <v/>
      </c>
      <c r="W26" s="320" t="str">
        <f t="shared" si="12"/>
        <v/>
      </c>
      <c r="X26" s="321" t="str">
        <f t="shared" si="13"/>
        <v/>
      </c>
      <c r="Y26" s="308"/>
      <c r="Z26" s="322" t="str">
        <f t="shared" si="15"/>
        <v/>
      </c>
      <c r="AA26" s="315" t="str">
        <f t="shared" si="16"/>
        <v/>
      </c>
      <c r="AB26" s="323" t="str">
        <f t="shared" si="17"/>
        <v/>
      </c>
    </row>
    <row r="27" spans="1:28" ht="14.25">
      <c r="A27" s="204"/>
      <c r="B27" s="279"/>
      <c r="C27" s="271"/>
      <c r="D27" s="284" t="str">
        <f t="shared" si="23"/>
        <v/>
      </c>
      <c r="E27" s="273"/>
      <c r="F27" s="285"/>
      <c r="G27" s="275"/>
      <c r="H27" s="223" t="str">
        <f>IFERROR(IF(G27-$Q$2&lt;=0,"",(G27-$Q$2)*86400),"")</f>
        <v/>
      </c>
      <c r="I27" s="228"/>
      <c r="J27" s="225"/>
      <c r="K27" s="229" t="str">
        <f>IFERROR(H27*(1+0.01*J27)-I27*$N$3,"")</f>
        <v/>
      </c>
      <c r="L27" s="227" t="str">
        <f>IFERROR((K27-$K$7)/86400,"")</f>
        <v/>
      </c>
      <c r="M27" s="230" t="str">
        <f>IFERROR((K27-$K$7)/$N$3,"")</f>
        <v/>
      </c>
      <c r="N27" s="231" t="str">
        <f>IFERROR($N$3/(H27/3600),"")</f>
        <v/>
      </c>
      <c r="O27" s="232"/>
      <c r="P27" s="286"/>
      <c r="Q27" s="280"/>
      <c r="R27" s="293"/>
      <c r="S27" s="316" t="str">
        <f t="shared" si="8"/>
        <v/>
      </c>
      <c r="T27" s="317" t="str">
        <f t="shared" si="9"/>
        <v/>
      </c>
      <c r="U27" s="318" t="str">
        <f t="shared" si="10"/>
        <v/>
      </c>
      <c r="V27" s="319" t="str">
        <f t="shared" si="11"/>
        <v/>
      </c>
      <c r="W27" s="320" t="str">
        <f t="shared" si="12"/>
        <v/>
      </c>
      <c r="X27" s="321" t="str">
        <f t="shared" si="13"/>
        <v/>
      </c>
      <c r="Y27" s="308"/>
      <c r="Z27" s="322" t="str">
        <f t="shared" si="15"/>
        <v/>
      </c>
      <c r="AA27" s="315" t="str">
        <f t="shared" si="16"/>
        <v/>
      </c>
      <c r="AB27" s="323" t="str">
        <f t="shared" si="17"/>
        <v/>
      </c>
    </row>
    <row r="28" spans="1:28" ht="14.25" customHeight="1">
      <c r="A28" s="204"/>
      <c r="B28" s="235"/>
      <c r="C28" s="236"/>
      <c r="D28" s="237" t="str">
        <f t="shared" si="23"/>
        <v/>
      </c>
      <c r="E28" s="238"/>
      <c r="F28" s="239"/>
      <c r="G28" s="240"/>
      <c r="H28" s="236"/>
      <c r="I28" s="241"/>
      <c r="J28" s="238"/>
      <c r="K28" s="242"/>
      <c r="L28" s="240"/>
      <c r="M28" s="243"/>
      <c r="N28" s="244"/>
      <c r="O28" s="245"/>
      <c r="P28" s="287"/>
      <c r="Q28" s="247"/>
      <c r="R28" s="293"/>
      <c r="S28" s="316" t="str">
        <f t="shared" si="8"/>
        <v/>
      </c>
      <c r="T28" s="317" t="str">
        <f t="shared" si="9"/>
        <v/>
      </c>
      <c r="U28" s="318" t="str">
        <f t="shared" si="10"/>
        <v/>
      </c>
      <c r="V28" s="319" t="str">
        <f t="shared" si="11"/>
        <v/>
      </c>
      <c r="W28" s="320" t="str">
        <f t="shared" si="12"/>
        <v/>
      </c>
      <c r="X28" s="321" t="str">
        <f t="shared" si="13"/>
        <v/>
      </c>
      <c r="Y28" s="308"/>
      <c r="Z28" s="322" t="str">
        <f t="shared" si="15"/>
        <v/>
      </c>
      <c r="AA28" s="315" t="str">
        <f t="shared" si="16"/>
        <v/>
      </c>
      <c r="AB28" s="323" t="str">
        <f t="shared" si="17"/>
        <v/>
      </c>
    </row>
    <row r="29" spans="1:28" ht="14.25">
      <c r="A29" s="204"/>
      <c r="B29" s="235"/>
      <c r="C29" s="236"/>
      <c r="D29" s="237" t="str">
        <f t="shared" si="23"/>
        <v/>
      </c>
      <c r="E29" s="238"/>
      <c r="F29" s="239"/>
      <c r="G29" s="240"/>
      <c r="H29" s="236"/>
      <c r="I29" s="241"/>
      <c r="J29" s="238"/>
      <c r="K29" s="242"/>
      <c r="L29" s="240"/>
      <c r="M29" s="243"/>
      <c r="N29" s="244"/>
      <c r="O29" s="245"/>
      <c r="P29" s="282"/>
      <c r="Q29" s="247"/>
      <c r="R29" s="293"/>
      <c r="S29" s="316" t="str">
        <f t="shared" si="8"/>
        <v/>
      </c>
      <c r="T29" s="317" t="str">
        <f t="shared" si="9"/>
        <v/>
      </c>
      <c r="U29" s="318" t="str">
        <f t="shared" si="10"/>
        <v/>
      </c>
      <c r="V29" s="319" t="str">
        <f t="shared" si="11"/>
        <v/>
      </c>
      <c r="W29" s="320" t="str">
        <f t="shared" si="12"/>
        <v/>
      </c>
      <c r="X29" s="321" t="str">
        <f t="shared" si="13"/>
        <v/>
      </c>
      <c r="Y29" s="308"/>
      <c r="Z29" s="322" t="str">
        <f t="shared" si="15"/>
        <v/>
      </c>
      <c r="AA29" s="315" t="str">
        <f t="shared" si="16"/>
        <v/>
      </c>
      <c r="AB29" s="323" t="str">
        <f t="shared" si="17"/>
        <v/>
      </c>
    </row>
    <row r="30" spans="1:28" ht="14.25" customHeight="1">
      <c r="A30" s="204"/>
      <c r="B30" s="235"/>
      <c r="C30" s="236"/>
      <c r="D30" s="237" t="str">
        <f t="shared" si="23"/>
        <v/>
      </c>
      <c r="E30" s="238"/>
      <c r="F30" s="239"/>
      <c r="G30" s="240"/>
      <c r="H30" s="236"/>
      <c r="I30" s="241"/>
      <c r="J30" s="238"/>
      <c r="K30" s="242"/>
      <c r="L30" s="240"/>
      <c r="M30" s="243"/>
      <c r="N30" s="244"/>
      <c r="O30" s="245"/>
      <c r="P30" s="282"/>
      <c r="Q30" s="247"/>
      <c r="R30" s="293"/>
      <c r="S30" s="316" t="str">
        <f t="shared" si="8"/>
        <v/>
      </c>
      <c r="T30" s="317" t="str">
        <f t="shared" si="9"/>
        <v/>
      </c>
      <c r="U30" s="318" t="str">
        <f t="shared" si="10"/>
        <v/>
      </c>
      <c r="V30" s="319" t="str">
        <f t="shared" si="11"/>
        <v/>
      </c>
      <c r="W30" s="320" t="str">
        <f t="shared" si="12"/>
        <v/>
      </c>
      <c r="X30" s="321" t="str">
        <f t="shared" si="13"/>
        <v/>
      </c>
      <c r="Y30" s="308"/>
      <c r="Z30" s="322" t="str">
        <f t="shared" si="15"/>
        <v/>
      </c>
      <c r="AA30" s="315" t="str">
        <f t="shared" si="16"/>
        <v/>
      </c>
      <c r="AB30" s="323" t="str">
        <f t="shared" si="17"/>
        <v/>
      </c>
    </row>
    <row r="31" spans="1:28" ht="15" thickBot="1">
      <c r="A31" s="204"/>
      <c r="B31" s="235"/>
      <c r="C31" s="236"/>
      <c r="D31" s="250" t="str">
        <f t="shared" si="23"/>
        <v/>
      </c>
      <c r="E31" s="251"/>
      <c r="F31" s="239"/>
      <c r="G31" s="240"/>
      <c r="H31" s="249" t="str">
        <f>IFERROR(IF(G31-$Q$2&lt;=0,"",(G31-$Q$2)*86400),"")</f>
        <v/>
      </c>
      <c r="I31" s="265" t="str">
        <f>IF($I$6="Ⅰ",V31,IF($I$6="Ⅱ",W31,IF($I$6="Ⅲ",X31,"")))</f>
        <v/>
      </c>
      <c r="J31" s="251"/>
      <c r="K31" s="267" t="str">
        <f>IFERROR(H31*(1+0.01*J31)-I31*$N$3,"")</f>
        <v/>
      </c>
      <c r="L31" s="253" t="str">
        <f>IFERROR((K31-$K$7)/86400,"")</f>
        <v/>
      </c>
      <c r="M31" s="268" t="str">
        <f>IFERROR((K31-$K$7)/$N$3,"")</f>
        <v/>
      </c>
      <c r="N31" s="269" t="str">
        <f>IFERROR($N$3/(H31/3600),"")</f>
        <v/>
      </c>
      <c r="O31" s="270" t="str">
        <f>IF($O$6="MAX=20",Z31,IF($O$6="MAX=30",AA31,IF($O$6="MAX=40",AB31,"")))</f>
        <v/>
      </c>
      <c r="P31" s="283"/>
      <c r="Q31" s="263"/>
      <c r="R31" s="293"/>
      <c r="S31" s="324" t="str">
        <f t="shared" si="8"/>
        <v/>
      </c>
      <c r="T31" s="325" t="str">
        <f t="shared" si="9"/>
        <v/>
      </c>
      <c r="U31" s="326" t="str">
        <f t="shared" si="10"/>
        <v/>
      </c>
      <c r="V31" s="327" t="str">
        <f t="shared" si="11"/>
        <v/>
      </c>
      <c r="W31" s="328" t="str">
        <f t="shared" si="12"/>
        <v/>
      </c>
      <c r="X31" s="329" t="str">
        <f t="shared" si="13"/>
        <v/>
      </c>
      <c r="Y31" s="308"/>
      <c r="Z31" s="340" t="str">
        <f t="shared" si="15"/>
        <v/>
      </c>
      <c r="AA31" s="341" t="str">
        <f t="shared" si="16"/>
        <v/>
      </c>
      <c r="AB31" s="342" t="str">
        <f t="shared" si="17"/>
        <v/>
      </c>
    </row>
    <row r="32" spans="1:28" ht="15" customHeight="1">
      <c r="A32" s="204"/>
      <c r="B32" s="608" t="s">
        <v>354</v>
      </c>
      <c r="C32" s="609"/>
      <c r="D32" s="610"/>
      <c r="E32" s="288" t="s">
        <v>188</v>
      </c>
      <c r="F32" s="601" t="s">
        <v>376</v>
      </c>
      <c r="G32" s="602"/>
      <c r="H32" s="592" t="s">
        <v>463</v>
      </c>
      <c r="I32" s="593"/>
      <c r="J32" s="593"/>
      <c r="K32" s="593"/>
      <c r="L32" s="593"/>
      <c r="M32" s="593"/>
      <c r="N32" s="593"/>
      <c r="O32" s="593"/>
      <c r="P32" s="593"/>
      <c r="Q32" s="594"/>
      <c r="R32" s="193"/>
      <c r="S32" s="302"/>
      <c r="T32" s="302"/>
      <c r="U32" s="302"/>
      <c r="X32" s="302"/>
      <c r="Y32" s="302"/>
    </row>
    <row r="33" spans="1:25" ht="15" customHeight="1">
      <c r="A33" s="204"/>
      <c r="B33" s="611"/>
      <c r="C33" s="612"/>
      <c r="D33" s="613"/>
      <c r="E33" s="289" t="s">
        <v>189</v>
      </c>
      <c r="F33" s="603" t="s">
        <v>440</v>
      </c>
      <c r="G33" s="604"/>
      <c r="H33" s="595"/>
      <c r="I33" s="596"/>
      <c r="J33" s="596"/>
      <c r="K33" s="596"/>
      <c r="L33" s="596"/>
      <c r="M33" s="596"/>
      <c r="N33" s="596"/>
      <c r="O33" s="596"/>
      <c r="P33" s="596"/>
      <c r="Q33" s="597"/>
      <c r="R33" s="193"/>
      <c r="S33" s="302"/>
      <c r="T33" s="302"/>
      <c r="U33" s="302"/>
      <c r="X33" s="302"/>
      <c r="Y33" s="302"/>
    </row>
    <row r="34" spans="1:25" ht="23.25" customHeight="1">
      <c r="A34" s="204"/>
      <c r="B34" s="614"/>
      <c r="C34" s="615"/>
      <c r="D34" s="616"/>
      <c r="E34" s="289" t="s">
        <v>190</v>
      </c>
      <c r="F34" s="603" t="s">
        <v>441</v>
      </c>
      <c r="G34" s="604"/>
      <c r="H34" s="595"/>
      <c r="I34" s="596"/>
      <c r="J34" s="596"/>
      <c r="K34" s="596"/>
      <c r="L34" s="596"/>
      <c r="M34" s="596"/>
      <c r="N34" s="596"/>
      <c r="O34" s="596"/>
      <c r="P34" s="596"/>
      <c r="Q34" s="597"/>
      <c r="R34" s="193"/>
      <c r="S34" s="302"/>
      <c r="T34" s="302"/>
      <c r="U34" s="302"/>
      <c r="X34" s="302"/>
      <c r="Y34" s="302"/>
    </row>
    <row r="35" spans="1:25" ht="22.5" customHeight="1">
      <c r="A35" s="204"/>
      <c r="B35" s="617" t="s">
        <v>330</v>
      </c>
      <c r="C35" s="618"/>
      <c r="D35" s="619"/>
      <c r="E35" s="626" t="s">
        <v>192</v>
      </c>
      <c r="F35" s="603" t="str">
        <f>参照ﾃﾞｰﾀ!AL16</f>
        <v>未央</v>
      </c>
      <c r="G35" s="604"/>
      <c r="H35" s="595"/>
      <c r="I35" s="596"/>
      <c r="J35" s="596"/>
      <c r="K35" s="596"/>
      <c r="L35" s="596"/>
      <c r="M35" s="596"/>
      <c r="N35" s="596"/>
      <c r="O35" s="596"/>
      <c r="P35" s="596"/>
      <c r="Q35" s="597"/>
      <c r="R35" s="193"/>
      <c r="S35" s="302"/>
      <c r="T35" s="302"/>
      <c r="U35" s="302"/>
      <c r="X35" s="302"/>
      <c r="Y35" s="302"/>
    </row>
    <row r="36" spans="1:25" ht="15" customHeight="1">
      <c r="A36" s="204"/>
      <c r="B36" s="620"/>
      <c r="C36" s="621"/>
      <c r="D36" s="622"/>
      <c r="E36" s="627"/>
      <c r="F36" s="603"/>
      <c r="G36" s="604"/>
      <c r="H36" s="595"/>
      <c r="I36" s="596"/>
      <c r="J36" s="596"/>
      <c r="K36" s="596"/>
      <c r="L36" s="596"/>
      <c r="M36" s="596"/>
      <c r="N36" s="596"/>
      <c r="O36" s="596"/>
      <c r="P36" s="596"/>
      <c r="Q36" s="597"/>
      <c r="R36" s="193"/>
      <c r="S36" s="302"/>
      <c r="T36" s="302"/>
      <c r="U36" s="302"/>
      <c r="X36" s="302"/>
      <c r="Y36" s="302"/>
    </row>
    <row r="37" spans="1:25" ht="15" customHeight="1">
      <c r="A37" s="204"/>
      <c r="B37" s="620"/>
      <c r="C37" s="621"/>
      <c r="D37" s="622"/>
      <c r="E37" s="288" t="s">
        <v>191</v>
      </c>
      <c r="F37" s="605">
        <v>43485</v>
      </c>
      <c r="G37" s="602"/>
      <c r="H37" s="595"/>
      <c r="I37" s="596"/>
      <c r="J37" s="596"/>
      <c r="K37" s="596"/>
      <c r="L37" s="596"/>
      <c r="M37" s="596"/>
      <c r="N37" s="596"/>
      <c r="O37" s="596"/>
      <c r="P37" s="596"/>
      <c r="Q37" s="597"/>
      <c r="R37" s="193"/>
      <c r="S37" s="302"/>
      <c r="T37" s="302"/>
      <c r="U37" s="302"/>
      <c r="X37" s="302"/>
      <c r="Y37" s="302"/>
    </row>
    <row r="38" spans="1:25" ht="15" customHeight="1">
      <c r="A38" s="204"/>
      <c r="B38" s="620"/>
      <c r="C38" s="621"/>
      <c r="D38" s="622"/>
      <c r="E38" s="289" t="s">
        <v>205</v>
      </c>
      <c r="F38" s="603" t="s">
        <v>270</v>
      </c>
      <c r="G38" s="604"/>
      <c r="H38" s="595"/>
      <c r="I38" s="596"/>
      <c r="J38" s="596"/>
      <c r="K38" s="596"/>
      <c r="L38" s="596"/>
      <c r="M38" s="596"/>
      <c r="N38" s="596"/>
      <c r="O38" s="596"/>
      <c r="P38" s="596"/>
      <c r="Q38" s="597"/>
      <c r="R38" s="193"/>
      <c r="S38" s="302"/>
      <c r="T38" s="302"/>
      <c r="U38" s="302"/>
      <c r="X38" s="302"/>
      <c r="Y38" s="302"/>
    </row>
    <row r="39" spans="1:25" ht="15" customHeight="1">
      <c r="A39" s="204"/>
      <c r="B39" s="620"/>
      <c r="C39" s="621"/>
      <c r="D39" s="622"/>
      <c r="E39" s="626" t="s">
        <v>192</v>
      </c>
      <c r="F39" s="603" t="s">
        <v>461</v>
      </c>
      <c r="G39" s="604"/>
      <c r="H39" s="595"/>
      <c r="I39" s="596"/>
      <c r="J39" s="596"/>
      <c r="K39" s="596"/>
      <c r="L39" s="596"/>
      <c r="M39" s="596"/>
      <c r="N39" s="596"/>
      <c r="O39" s="596"/>
      <c r="P39" s="596"/>
      <c r="Q39" s="597"/>
      <c r="R39" s="193"/>
      <c r="S39" s="302"/>
      <c r="T39" s="302"/>
      <c r="U39" s="302"/>
      <c r="X39" s="302"/>
      <c r="Y39" s="302"/>
    </row>
    <row r="40" spans="1:25" ht="15" customHeight="1">
      <c r="A40" s="204"/>
      <c r="B40" s="620"/>
      <c r="C40" s="621"/>
      <c r="D40" s="622"/>
      <c r="E40" s="626"/>
      <c r="F40" s="603" t="s">
        <v>462</v>
      </c>
      <c r="G40" s="604"/>
      <c r="H40" s="595"/>
      <c r="I40" s="596"/>
      <c r="J40" s="596"/>
      <c r="K40" s="596"/>
      <c r="L40" s="596"/>
      <c r="M40" s="596"/>
      <c r="N40" s="596"/>
      <c r="O40" s="596"/>
      <c r="P40" s="596"/>
      <c r="Q40" s="597"/>
      <c r="R40" s="193"/>
      <c r="S40" s="302"/>
      <c r="T40" s="302"/>
      <c r="U40" s="302"/>
      <c r="X40" s="302"/>
      <c r="Y40" s="302"/>
    </row>
    <row r="41" spans="1:25" ht="11.25" customHeight="1" thickBot="1">
      <c r="A41" s="204"/>
      <c r="B41" s="623"/>
      <c r="C41" s="624"/>
      <c r="D41" s="625"/>
      <c r="E41" s="290"/>
      <c r="F41" s="628"/>
      <c r="G41" s="629"/>
      <c r="H41" s="598"/>
      <c r="I41" s="599"/>
      <c r="J41" s="599"/>
      <c r="K41" s="599"/>
      <c r="L41" s="599"/>
      <c r="M41" s="599"/>
      <c r="N41" s="599"/>
      <c r="O41" s="599"/>
      <c r="P41" s="599"/>
      <c r="Q41" s="600"/>
      <c r="R41" s="193"/>
      <c r="S41" s="302"/>
      <c r="T41" s="302"/>
      <c r="U41" s="302"/>
      <c r="V41" s="302"/>
      <c r="W41" s="302"/>
      <c r="X41" s="302"/>
      <c r="Y41" s="302"/>
    </row>
    <row r="42" spans="1:25">
      <c r="A42" s="204"/>
      <c r="B42" s="204"/>
      <c r="C42" s="204"/>
      <c r="D42" s="204"/>
      <c r="E42" s="204"/>
      <c r="F42" s="204"/>
      <c r="G42" s="204"/>
      <c r="H42" s="204"/>
      <c r="I42" s="204"/>
      <c r="J42" s="204"/>
      <c r="K42" s="204"/>
      <c r="L42" s="204"/>
      <c r="M42" s="204"/>
      <c r="N42" s="204"/>
      <c r="O42" s="204"/>
      <c r="P42" s="204"/>
      <c r="Q42" s="204"/>
      <c r="R42" s="204"/>
    </row>
  </sheetData>
  <sheetProtection algorithmName="SHA-512" hashValue="dAQl/7D/wQpo/SqGnJoFx5TaT07JgVrORPTg9I2/ObecVH4BYLnXE87T7EWzuKTVdTSKRrw6D+Fv8OfNT89K9A==" saltValue="3/TCGI874eEWCdxtAqyWdQ==" spinCount="100000" sheet="1" objects="1" scenarios="1"/>
  <sortState ref="C7:K20">
    <sortCondition ref="K7:K20"/>
  </sortState>
  <mergeCells count="19">
    <mergeCell ref="J3:K3"/>
    <mergeCell ref="P5:Q5"/>
    <mergeCell ref="B32:D34"/>
    <mergeCell ref="F32:G32"/>
    <mergeCell ref="H32:Q41"/>
    <mergeCell ref="F33:G33"/>
    <mergeCell ref="F34:G34"/>
    <mergeCell ref="B35:D41"/>
    <mergeCell ref="F40:G40"/>
    <mergeCell ref="F41:G41"/>
    <mergeCell ref="E35:E36"/>
    <mergeCell ref="F35:G35"/>
    <mergeCell ref="F36:G36"/>
    <mergeCell ref="F37:G37"/>
    <mergeCell ref="F38:G38"/>
    <mergeCell ref="F39:G39"/>
    <mergeCell ref="E39:E40"/>
    <mergeCell ref="D2:F2"/>
    <mergeCell ref="E3:I3"/>
  </mergeCells>
  <phoneticPr fontId="42"/>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9"/>
  <sheetViews>
    <sheetView view="pageBreakPreview" zoomScale="85" zoomScaleNormal="100" zoomScaleSheetLayoutView="85" workbookViewId="0">
      <selection activeCell="O19" sqref="O19"/>
    </sheetView>
  </sheetViews>
  <sheetFormatPr defaultRowHeight="13.5"/>
  <cols>
    <col min="1" max="1" width="3" style="301" customWidth="1"/>
    <col min="2" max="2" width="4.25" style="301" customWidth="1"/>
    <col min="3" max="3" width="7.25" style="301" customWidth="1"/>
    <col min="4" max="4" width="16.25" style="301" customWidth="1"/>
    <col min="5" max="10" width="7.875" style="301" customWidth="1"/>
    <col min="11" max="11" width="7.5" style="301" customWidth="1"/>
    <col min="12" max="13" width="3.125" style="301" customWidth="1"/>
    <col min="14" max="14" width="7.75" style="301" customWidth="1"/>
    <col min="15" max="15" width="12.625" style="301" customWidth="1"/>
    <col min="16" max="16" width="6.625" style="301" customWidth="1"/>
    <col min="17" max="17" width="7.375" style="301" customWidth="1"/>
    <col min="18" max="18" width="15.5" style="301" customWidth="1"/>
    <col min="19" max="20" width="9" style="301"/>
    <col min="21" max="21" width="16.375" style="301" customWidth="1"/>
    <col min="22" max="23" width="9" style="301"/>
    <col min="24" max="24" width="3" style="301" customWidth="1"/>
    <col min="25" max="25" width="4.25" style="301" customWidth="1"/>
    <col min="26" max="26" width="7.25" style="301" customWidth="1"/>
    <col min="27" max="27" width="16.25" style="301" customWidth="1"/>
    <col min="28" max="33" width="7.875" style="301" customWidth="1"/>
    <col min="34" max="34" width="7.5" style="301" customWidth="1"/>
    <col min="35" max="36" width="3.125" style="301" customWidth="1"/>
    <col min="37" max="37" width="7.75" style="301" customWidth="1"/>
    <col min="38" max="16384" width="9" style="301"/>
  </cols>
  <sheetData>
    <row r="1" spans="2:37" s="312" customFormat="1" ht="19.5" customHeight="1">
      <c r="B1" s="670" t="s">
        <v>367</v>
      </c>
      <c r="C1" s="670"/>
      <c r="D1" s="670"/>
      <c r="E1" s="670"/>
      <c r="F1" s="670"/>
      <c r="G1" s="670"/>
      <c r="H1" s="670"/>
      <c r="I1" s="670"/>
      <c r="J1" s="670"/>
      <c r="K1" s="670"/>
      <c r="L1" s="670"/>
      <c r="M1" s="670"/>
      <c r="N1" s="457"/>
      <c r="O1" s="458"/>
      <c r="Y1" s="670" t="s">
        <v>244</v>
      </c>
      <c r="Z1" s="670"/>
      <c r="AA1" s="670"/>
      <c r="AB1" s="670"/>
      <c r="AC1" s="670"/>
      <c r="AD1" s="670"/>
      <c r="AE1" s="670"/>
      <c r="AF1" s="670"/>
      <c r="AG1" s="670"/>
      <c r="AH1" s="670"/>
      <c r="AI1" s="670"/>
      <c r="AJ1" s="670"/>
      <c r="AK1" s="457"/>
    </row>
    <row r="2" spans="2:37" s="461" customFormat="1" ht="23.25" customHeight="1">
      <c r="B2" s="669" t="s">
        <v>211</v>
      </c>
      <c r="C2" s="669"/>
      <c r="D2" s="669"/>
      <c r="E2" s="669"/>
      <c r="F2" s="669"/>
      <c r="G2" s="669"/>
      <c r="H2" s="669"/>
      <c r="I2" s="669"/>
      <c r="J2" s="669"/>
      <c r="K2" s="669"/>
      <c r="L2" s="669"/>
      <c r="M2" s="669"/>
      <c r="N2" s="459"/>
      <c r="O2" s="460"/>
      <c r="P2" s="669" t="s">
        <v>464</v>
      </c>
      <c r="Q2" s="669"/>
      <c r="R2" s="669"/>
      <c r="S2" s="669"/>
      <c r="T2" s="669"/>
      <c r="U2" s="669"/>
      <c r="V2" s="460"/>
      <c r="W2" s="460"/>
      <c r="Y2" s="669" t="s">
        <v>211</v>
      </c>
      <c r="Z2" s="669"/>
      <c r="AA2" s="669"/>
      <c r="AB2" s="669"/>
      <c r="AC2" s="669"/>
      <c r="AD2" s="669"/>
      <c r="AE2" s="669"/>
      <c r="AF2" s="669"/>
      <c r="AG2" s="669"/>
      <c r="AH2" s="669"/>
      <c r="AI2" s="669"/>
      <c r="AJ2" s="669"/>
      <c r="AK2" s="459"/>
    </row>
    <row r="3" spans="2:37" s="312" customFormat="1" ht="21" customHeight="1" thickBot="1">
      <c r="C3" s="308"/>
      <c r="J3" s="664" t="s">
        <v>448</v>
      </c>
      <c r="K3" s="664"/>
      <c r="L3" s="664"/>
      <c r="M3" s="664"/>
      <c r="N3" s="462"/>
      <c r="O3" s="463"/>
      <c r="P3" s="464"/>
      <c r="Z3" s="308"/>
      <c r="AG3" s="664" t="s">
        <v>243</v>
      </c>
      <c r="AH3" s="664"/>
      <c r="AI3" s="664"/>
      <c r="AJ3" s="664"/>
      <c r="AK3" s="462"/>
    </row>
    <row r="4" spans="2:37" s="312" customFormat="1" ht="13.5" customHeight="1">
      <c r="B4" s="671" t="s">
        <v>3</v>
      </c>
      <c r="C4" s="673" t="s">
        <v>91</v>
      </c>
      <c r="D4" s="675" t="s">
        <v>92</v>
      </c>
      <c r="E4" s="465" t="s">
        <v>236</v>
      </c>
      <c r="F4" s="465" t="s">
        <v>237</v>
      </c>
      <c r="G4" s="465" t="s">
        <v>239</v>
      </c>
      <c r="H4" s="465" t="s">
        <v>240</v>
      </c>
      <c r="I4" s="465" t="s">
        <v>241</v>
      </c>
      <c r="J4" s="465" t="s">
        <v>273</v>
      </c>
      <c r="K4" s="677" t="s">
        <v>93</v>
      </c>
      <c r="L4" s="679" t="s">
        <v>94</v>
      </c>
      <c r="M4" s="681" t="s">
        <v>95</v>
      </c>
      <c r="N4" s="466" t="s">
        <v>238</v>
      </c>
      <c r="O4" s="463"/>
      <c r="P4" s="467"/>
      <c r="Q4" s="468" t="s">
        <v>443</v>
      </c>
      <c r="R4" s="467"/>
      <c r="S4" s="467"/>
      <c r="Y4" s="686" t="s">
        <v>3</v>
      </c>
      <c r="Z4" s="689" t="s">
        <v>91</v>
      </c>
      <c r="AA4" s="692" t="s">
        <v>92</v>
      </c>
      <c r="AB4" s="465" t="s">
        <v>212</v>
      </c>
      <c r="AC4" s="465" t="s">
        <v>213</v>
      </c>
      <c r="AD4" s="465" t="s">
        <v>214</v>
      </c>
      <c r="AE4" s="465" t="s">
        <v>215</v>
      </c>
      <c r="AF4" s="465" t="s">
        <v>216</v>
      </c>
      <c r="AG4" s="465" t="s">
        <v>217</v>
      </c>
      <c r="AH4" s="695" t="s">
        <v>93</v>
      </c>
      <c r="AI4" s="698" t="s">
        <v>225</v>
      </c>
      <c r="AJ4" s="701" t="s">
        <v>226</v>
      </c>
      <c r="AK4" s="469" t="s">
        <v>171</v>
      </c>
    </row>
    <row r="5" spans="2:37" s="312" customFormat="1" ht="13.5" customHeight="1">
      <c r="B5" s="672"/>
      <c r="C5" s="674"/>
      <c r="D5" s="676"/>
      <c r="E5" s="470">
        <v>43296</v>
      </c>
      <c r="F5" s="470">
        <v>43331</v>
      </c>
      <c r="G5" s="470">
        <v>43359</v>
      </c>
      <c r="H5" s="470">
        <v>43394</v>
      </c>
      <c r="I5" s="470">
        <v>43422</v>
      </c>
      <c r="J5" s="470">
        <v>43450</v>
      </c>
      <c r="K5" s="678"/>
      <c r="L5" s="680"/>
      <c r="M5" s="682"/>
      <c r="N5" s="471">
        <f>参照ﾃﾞｰﾀ!$T$12</f>
        <v>43717</v>
      </c>
      <c r="O5" s="463"/>
      <c r="P5" s="467"/>
      <c r="Q5" s="467"/>
      <c r="R5" s="467"/>
      <c r="S5" s="467" t="s">
        <v>167</v>
      </c>
      <c r="T5" s="312" t="s">
        <v>168</v>
      </c>
      <c r="Y5" s="687"/>
      <c r="Z5" s="690"/>
      <c r="AA5" s="693"/>
      <c r="AB5" s="470">
        <v>42750</v>
      </c>
      <c r="AC5" s="470">
        <v>42787</v>
      </c>
      <c r="AD5" s="470">
        <v>42813</v>
      </c>
      <c r="AE5" s="470">
        <v>42841</v>
      </c>
      <c r="AF5" s="470">
        <v>42876</v>
      </c>
      <c r="AG5" s="470">
        <v>42904</v>
      </c>
      <c r="AH5" s="696"/>
      <c r="AI5" s="699"/>
      <c r="AJ5" s="702"/>
      <c r="AK5" s="472">
        <v>42617</v>
      </c>
    </row>
    <row r="6" spans="2:37" s="479" customFormat="1" ht="28.5">
      <c r="B6" s="672"/>
      <c r="C6" s="674"/>
      <c r="D6" s="676"/>
      <c r="E6" s="473" t="s">
        <v>150</v>
      </c>
      <c r="F6" s="473" t="s">
        <v>76</v>
      </c>
      <c r="G6" s="473" t="s">
        <v>270</v>
      </c>
      <c r="H6" s="473" t="s">
        <v>76</v>
      </c>
      <c r="I6" s="473" t="s">
        <v>267</v>
      </c>
      <c r="J6" s="473" t="s">
        <v>76</v>
      </c>
      <c r="K6" s="678"/>
      <c r="L6" s="680"/>
      <c r="M6" s="682"/>
      <c r="N6" s="474" t="s">
        <v>149</v>
      </c>
      <c r="O6" s="475"/>
      <c r="P6" s="476" t="s">
        <v>3</v>
      </c>
      <c r="Q6" s="477" t="s">
        <v>91</v>
      </c>
      <c r="R6" s="478" t="s">
        <v>92</v>
      </c>
      <c r="S6" s="478" t="s">
        <v>93</v>
      </c>
      <c r="T6" s="478" t="s">
        <v>169</v>
      </c>
      <c r="U6" s="478" t="s">
        <v>170</v>
      </c>
      <c r="Y6" s="688"/>
      <c r="Z6" s="691"/>
      <c r="AA6" s="694"/>
      <c r="AB6" s="473" t="s">
        <v>228</v>
      </c>
      <c r="AC6" s="473" t="s">
        <v>76</v>
      </c>
      <c r="AD6" s="473" t="s">
        <v>76</v>
      </c>
      <c r="AE6" s="473" t="s">
        <v>76</v>
      </c>
      <c r="AF6" s="473" t="s">
        <v>48</v>
      </c>
      <c r="AG6" s="473" t="s">
        <v>76</v>
      </c>
      <c r="AH6" s="697"/>
      <c r="AI6" s="700"/>
      <c r="AJ6" s="703"/>
      <c r="AK6" s="480" t="s">
        <v>149</v>
      </c>
    </row>
    <row r="7" spans="2:37" s="312" customFormat="1" ht="14.25">
      <c r="B7" s="481" t="s">
        <v>124</v>
      </c>
      <c r="C7" s="223">
        <v>5752</v>
      </c>
      <c r="D7" s="388" t="str">
        <f t="shared" ref="D7:D31" si="0">IF(ISBLANK(C7),"",VLOOKUP(C7,各艇データ,2,FALSE))</f>
        <v>アルファ</v>
      </c>
      <c r="E7" s="482">
        <v>18.8</v>
      </c>
      <c r="F7" s="482">
        <v>30</v>
      </c>
      <c r="G7" s="483">
        <v>27.9</v>
      </c>
      <c r="H7" s="484">
        <v>20</v>
      </c>
      <c r="I7" s="484">
        <v>21.4</v>
      </c>
      <c r="J7" s="482">
        <v>17.5</v>
      </c>
      <c r="K7" s="485">
        <f t="shared" ref="K7:K31" si="1">SUM(E7:J7)</f>
        <v>135.6</v>
      </c>
      <c r="L7" s="486" t="s">
        <v>444</v>
      </c>
      <c r="M7" s="486" t="s">
        <v>363</v>
      </c>
      <c r="N7" s="487"/>
      <c r="O7" s="488"/>
      <c r="P7" s="489" t="s">
        <v>96</v>
      </c>
      <c r="Q7" s="387">
        <v>150</v>
      </c>
      <c r="R7" s="388" t="s">
        <v>221</v>
      </c>
      <c r="S7" s="490">
        <v>59.099999999999994</v>
      </c>
      <c r="T7" s="490">
        <v>135.5</v>
      </c>
      <c r="U7" s="490">
        <f t="shared" ref="U7:U33" si="2">SUM(S7:T7)</f>
        <v>194.6</v>
      </c>
      <c r="Y7" s="481" t="s">
        <v>96</v>
      </c>
      <c r="Z7" s="387">
        <v>5755</v>
      </c>
      <c r="AA7" s="388" t="s">
        <v>223</v>
      </c>
      <c r="AB7" s="482">
        <v>14.1</v>
      </c>
      <c r="AC7" s="482">
        <v>1</v>
      </c>
      <c r="AD7" s="484">
        <v>30</v>
      </c>
      <c r="AE7" s="484"/>
      <c r="AF7" s="484"/>
      <c r="AG7" s="482">
        <v>16.5</v>
      </c>
      <c r="AH7" s="485">
        <v>61.6</v>
      </c>
      <c r="AI7" s="486" t="s">
        <v>363</v>
      </c>
      <c r="AJ7" s="486" t="s">
        <v>363</v>
      </c>
      <c r="AK7" s="487"/>
    </row>
    <row r="8" spans="2:37" s="312" customFormat="1" ht="14.25">
      <c r="B8" s="491" t="s">
        <v>97</v>
      </c>
      <c r="C8" s="236">
        <v>150</v>
      </c>
      <c r="D8" s="400" t="str">
        <f t="shared" si="0"/>
        <v>SHARK X</v>
      </c>
      <c r="E8" s="492">
        <v>20</v>
      </c>
      <c r="F8" s="492">
        <v>20</v>
      </c>
      <c r="G8" s="500">
        <v>30</v>
      </c>
      <c r="H8" s="492">
        <v>18.8</v>
      </c>
      <c r="I8" s="492">
        <v>27.9</v>
      </c>
      <c r="J8" s="492">
        <v>18.8</v>
      </c>
      <c r="K8" s="494">
        <f t="shared" si="1"/>
        <v>135.5</v>
      </c>
      <c r="L8" s="495" t="s">
        <v>445</v>
      </c>
      <c r="M8" s="495" t="s">
        <v>363</v>
      </c>
      <c r="N8" s="496"/>
      <c r="O8" s="497"/>
      <c r="P8" s="498" t="s">
        <v>97</v>
      </c>
      <c r="Q8" s="399">
        <v>5752</v>
      </c>
      <c r="R8" s="400" t="s">
        <v>45</v>
      </c>
      <c r="S8" s="490">
        <v>51.199999999999996</v>
      </c>
      <c r="T8" s="490">
        <v>135.6</v>
      </c>
      <c r="U8" s="490">
        <f t="shared" si="2"/>
        <v>186.79999999999998</v>
      </c>
      <c r="Y8" s="491" t="s">
        <v>97</v>
      </c>
      <c r="Z8" s="399">
        <v>312</v>
      </c>
      <c r="AA8" s="400" t="s">
        <v>29</v>
      </c>
      <c r="AB8" s="492">
        <v>20</v>
      </c>
      <c r="AC8" s="492">
        <v>1</v>
      </c>
      <c r="AD8" s="492">
        <v>28</v>
      </c>
      <c r="AE8" s="499"/>
      <c r="AF8" s="492"/>
      <c r="AG8" s="492">
        <v>11.8</v>
      </c>
      <c r="AH8" s="494">
        <v>60.8</v>
      </c>
      <c r="AI8" s="495" t="s">
        <v>363</v>
      </c>
      <c r="AJ8" s="495" t="s">
        <v>363</v>
      </c>
      <c r="AK8" s="496"/>
    </row>
    <row r="9" spans="2:37" s="312" customFormat="1" ht="14.25">
      <c r="B9" s="491" t="s">
        <v>98</v>
      </c>
      <c r="C9" s="236">
        <v>321</v>
      </c>
      <c r="D9" s="400" t="str">
        <f t="shared" si="0"/>
        <v>かまくら</v>
      </c>
      <c r="E9" s="492">
        <v>17.5</v>
      </c>
      <c r="F9" s="492">
        <v>28</v>
      </c>
      <c r="G9" s="493">
        <v>25.7</v>
      </c>
      <c r="H9" s="492">
        <v>11.3</v>
      </c>
      <c r="I9" s="492">
        <v>2.1</v>
      </c>
      <c r="J9" s="492">
        <v>16.3</v>
      </c>
      <c r="K9" s="494">
        <f t="shared" si="1"/>
        <v>100.89999999999999</v>
      </c>
      <c r="L9" s="495" t="s">
        <v>444</v>
      </c>
      <c r="M9" s="495" t="s">
        <v>363</v>
      </c>
      <c r="N9" s="496"/>
      <c r="O9" s="488"/>
      <c r="P9" s="498" t="s">
        <v>98</v>
      </c>
      <c r="Q9" s="399">
        <v>1611</v>
      </c>
      <c r="R9" s="400" t="s">
        <v>321</v>
      </c>
      <c r="S9" s="490">
        <v>46.7</v>
      </c>
      <c r="T9" s="490">
        <v>97.3</v>
      </c>
      <c r="U9" s="490">
        <f t="shared" si="2"/>
        <v>144</v>
      </c>
      <c r="Y9" s="491" t="s">
        <v>98</v>
      </c>
      <c r="Z9" s="399">
        <v>150</v>
      </c>
      <c r="AA9" s="400" t="s">
        <v>221</v>
      </c>
      <c r="AB9" s="502">
        <v>15.3</v>
      </c>
      <c r="AC9" s="492">
        <v>1</v>
      </c>
      <c r="AD9" s="503">
        <v>24</v>
      </c>
      <c r="AE9" s="494"/>
      <c r="AF9" s="502"/>
      <c r="AG9" s="492">
        <v>18.8</v>
      </c>
      <c r="AH9" s="494">
        <v>59.099999999999994</v>
      </c>
      <c r="AI9" s="495" t="s">
        <v>363</v>
      </c>
      <c r="AJ9" s="495" t="s">
        <v>363</v>
      </c>
      <c r="AK9" s="496"/>
    </row>
    <row r="10" spans="2:37" s="312" customFormat="1" ht="14.25">
      <c r="B10" s="491" t="s">
        <v>99</v>
      </c>
      <c r="C10" s="236">
        <v>1611</v>
      </c>
      <c r="D10" s="400" t="str">
        <f t="shared" si="0"/>
        <v>ﾈﾌﾟﾁｭｰﾝXⅡ</v>
      </c>
      <c r="E10" s="492">
        <v>15</v>
      </c>
      <c r="F10" s="492">
        <v>22</v>
      </c>
      <c r="G10" s="493">
        <v>23.6</v>
      </c>
      <c r="H10" s="499">
        <v>17.5</v>
      </c>
      <c r="I10" s="492">
        <v>12.9</v>
      </c>
      <c r="J10" s="492">
        <v>6.3</v>
      </c>
      <c r="K10" s="494">
        <f t="shared" si="1"/>
        <v>97.3</v>
      </c>
      <c r="L10" s="495" t="s">
        <v>446</v>
      </c>
      <c r="M10" s="495" t="s">
        <v>363</v>
      </c>
      <c r="N10" s="496"/>
      <c r="O10" s="488"/>
      <c r="P10" s="498" t="s">
        <v>99</v>
      </c>
      <c r="Q10" s="399">
        <v>321</v>
      </c>
      <c r="R10" s="400" t="s">
        <v>30</v>
      </c>
      <c r="S10" s="490">
        <v>31</v>
      </c>
      <c r="T10" s="490">
        <v>100.89999999999999</v>
      </c>
      <c r="U10" s="490">
        <f t="shared" si="2"/>
        <v>131.89999999999998</v>
      </c>
      <c r="Y10" s="491" t="s">
        <v>99</v>
      </c>
      <c r="Z10" s="399">
        <v>5752</v>
      </c>
      <c r="AA10" s="400" t="s">
        <v>45</v>
      </c>
      <c r="AB10" s="492">
        <v>18.8</v>
      </c>
      <c r="AC10" s="492">
        <v>1</v>
      </c>
      <c r="AD10" s="492">
        <v>22</v>
      </c>
      <c r="AE10" s="492"/>
      <c r="AF10" s="492"/>
      <c r="AG10" s="492">
        <v>9.4</v>
      </c>
      <c r="AH10" s="494">
        <v>51.199999999999996</v>
      </c>
      <c r="AI10" s="495" t="s">
        <v>363</v>
      </c>
      <c r="AJ10" s="495" t="s">
        <v>363</v>
      </c>
      <c r="AK10" s="496"/>
    </row>
    <row r="11" spans="2:37" s="312" customFormat="1" ht="14.25">
      <c r="B11" s="504" t="s">
        <v>125</v>
      </c>
      <c r="C11" s="249">
        <v>312</v>
      </c>
      <c r="D11" s="505" t="str">
        <f t="shared" si="0"/>
        <v>はやとり</v>
      </c>
      <c r="E11" s="506">
        <v>8.8000000000000007</v>
      </c>
      <c r="F11" s="507">
        <v>18</v>
      </c>
      <c r="G11" s="508">
        <v>19.3</v>
      </c>
      <c r="H11" s="506">
        <v>16.3</v>
      </c>
      <c r="I11" s="506">
        <v>6.4</v>
      </c>
      <c r="J11" s="506">
        <v>1</v>
      </c>
      <c r="K11" s="509">
        <f t="shared" si="1"/>
        <v>69.800000000000011</v>
      </c>
      <c r="L11" s="510" t="s">
        <v>445</v>
      </c>
      <c r="M11" s="510" t="s">
        <v>363</v>
      </c>
      <c r="N11" s="511"/>
      <c r="O11" s="488"/>
      <c r="P11" s="512" t="s">
        <v>100</v>
      </c>
      <c r="Q11" s="413">
        <v>312</v>
      </c>
      <c r="R11" s="505" t="s">
        <v>29</v>
      </c>
      <c r="S11" s="513">
        <v>60.8</v>
      </c>
      <c r="T11" s="513">
        <v>69.800000000000011</v>
      </c>
      <c r="U11" s="513">
        <f t="shared" si="2"/>
        <v>130.60000000000002</v>
      </c>
      <c r="Y11" s="504" t="s">
        <v>100</v>
      </c>
      <c r="Z11" s="413">
        <v>1611</v>
      </c>
      <c r="AA11" s="505" t="s">
        <v>321</v>
      </c>
      <c r="AB11" s="514">
        <v>17.600000000000001</v>
      </c>
      <c r="AC11" s="506">
        <v>1</v>
      </c>
      <c r="AD11" s="515">
        <v>14</v>
      </c>
      <c r="AE11" s="506"/>
      <c r="AF11" s="506"/>
      <c r="AG11" s="506">
        <v>14.1</v>
      </c>
      <c r="AH11" s="509">
        <v>46.7</v>
      </c>
      <c r="AI11" s="510" t="s">
        <v>363</v>
      </c>
      <c r="AJ11" s="510" t="s">
        <v>363</v>
      </c>
      <c r="AK11" s="511"/>
    </row>
    <row r="12" spans="2:37" s="312" customFormat="1" ht="14.25">
      <c r="B12" s="481" t="s">
        <v>101</v>
      </c>
      <c r="C12" s="223">
        <v>4400</v>
      </c>
      <c r="D12" s="388" t="str">
        <f t="shared" si="0"/>
        <v>アイデアル</v>
      </c>
      <c r="E12" s="516">
        <v>12.5</v>
      </c>
      <c r="F12" s="482">
        <v>16</v>
      </c>
      <c r="G12" s="578">
        <v>17.100000000000001</v>
      </c>
      <c r="H12" s="482"/>
      <c r="I12" s="526">
        <v>1</v>
      </c>
      <c r="J12" s="482">
        <v>20</v>
      </c>
      <c r="K12" s="517">
        <f t="shared" si="1"/>
        <v>66.599999999999994</v>
      </c>
      <c r="L12" s="486"/>
      <c r="M12" s="518" t="s">
        <v>363</v>
      </c>
      <c r="N12" s="519"/>
      <c r="O12" s="488"/>
      <c r="P12" s="489" t="s">
        <v>101</v>
      </c>
      <c r="Q12" s="387">
        <v>5755</v>
      </c>
      <c r="R12" s="388" t="s">
        <v>223</v>
      </c>
      <c r="S12" s="520">
        <v>61.6</v>
      </c>
      <c r="T12" s="520">
        <v>63</v>
      </c>
      <c r="U12" s="520">
        <f t="shared" si="2"/>
        <v>124.6</v>
      </c>
      <c r="Y12" s="481" t="s">
        <v>101</v>
      </c>
      <c r="Z12" s="387">
        <v>4400</v>
      </c>
      <c r="AA12" s="388" t="s">
        <v>41</v>
      </c>
      <c r="AB12" s="482">
        <v>8.1999999999999993</v>
      </c>
      <c r="AC12" s="482">
        <v>1</v>
      </c>
      <c r="AD12" s="521">
        <v>20</v>
      </c>
      <c r="AE12" s="482"/>
      <c r="AF12" s="482"/>
      <c r="AG12" s="482">
        <v>10.6</v>
      </c>
      <c r="AH12" s="517">
        <v>39.799999999999997</v>
      </c>
      <c r="AI12" s="518" t="s">
        <v>363</v>
      </c>
      <c r="AJ12" s="518" t="s">
        <v>363</v>
      </c>
      <c r="AK12" s="519"/>
    </row>
    <row r="13" spans="2:37" s="312" customFormat="1" ht="14.25">
      <c r="B13" s="491" t="s">
        <v>102</v>
      </c>
      <c r="C13" s="236">
        <v>5755</v>
      </c>
      <c r="D13" s="400" t="str">
        <f t="shared" si="0"/>
        <v>ランカ</v>
      </c>
      <c r="E13" s="492">
        <v>7.5</v>
      </c>
      <c r="F13" s="499">
        <v>26</v>
      </c>
      <c r="G13" s="570"/>
      <c r="H13" s="492">
        <v>3.8</v>
      </c>
      <c r="I13" s="492">
        <v>25.7</v>
      </c>
      <c r="J13" s="492"/>
      <c r="K13" s="494">
        <f t="shared" si="1"/>
        <v>63</v>
      </c>
      <c r="L13" s="495"/>
      <c r="M13" s="522" t="s">
        <v>363</v>
      </c>
      <c r="N13" s="496"/>
      <c r="O13" s="488"/>
      <c r="P13" s="498" t="s">
        <v>102</v>
      </c>
      <c r="Q13" s="399">
        <v>4400</v>
      </c>
      <c r="R13" s="400" t="s">
        <v>41</v>
      </c>
      <c r="S13" s="490">
        <v>39.799999999999997</v>
      </c>
      <c r="T13" s="490">
        <v>66.599999999999994</v>
      </c>
      <c r="U13" s="490">
        <f t="shared" si="2"/>
        <v>106.39999999999999</v>
      </c>
      <c r="Y13" s="491" t="s">
        <v>102</v>
      </c>
      <c r="Z13" s="399">
        <v>2212</v>
      </c>
      <c r="AA13" s="400" t="s">
        <v>36</v>
      </c>
      <c r="AB13" s="492">
        <v>16.5</v>
      </c>
      <c r="AC13" s="492">
        <v>1</v>
      </c>
      <c r="AD13" s="499">
        <v>1</v>
      </c>
      <c r="AE13" s="492"/>
      <c r="AF13" s="501"/>
      <c r="AG13" s="492">
        <v>15.3</v>
      </c>
      <c r="AH13" s="494">
        <v>33.799999999999997</v>
      </c>
      <c r="AI13" s="495" t="s">
        <v>363</v>
      </c>
      <c r="AJ13" s="522" t="s">
        <v>363</v>
      </c>
      <c r="AK13" s="496"/>
    </row>
    <row r="14" spans="2:37" s="312" customFormat="1" ht="14.25">
      <c r="B14" s="491" t="s">
        <v>103</v>
      </c>
      <c r="C14" s="264">
        <v>380</v>
      </c>
      <c r="D14" s="400" t="str">
        <f t="shared" si="0"/>
        <v>テティス</v>
      </c>
      <c r="E14" s="501">
        <v>6.3</v>
      </c>
      <c r="F14" s="492">
        <v>24</v>
      </c>
      <c r="G14" s="500"/>
      <c r="H14" s="492">
        <v>7.5</v>
      </c>
      <c r="I14" s="492">
        <v>8.6</v>
      </c>
      <c r="J14" s="492">
        <v>15</v>
      </c>
      <c r="K14" s="494">
        <f t="shared" si="1"/>
        <v>61.4</v>
      </c>
      <c r="L14" s="495"/>
      <c r="M14" s="522" t="s">
        <v>363</v>
      </c>
      <c r="N14" s="496"/>
      <c r="O14" s="488"/>
      <c r="P14" s="498" t="s">
        <v>103</v>
      </c>
      <c r="Q14" s="399">
        <v>380</v>
      </c>
      <c r="R14" s="400" t="s">
        <v>153</v>
      </c>
      <c r="S14" s="490">
        <v>27</v>
      </c>
      <c r="T14" s="490">
        <v>61.4</v>
      </c>
      <c r="U14" s="490">
        <f t="shared" si="2"/>
        <v>88.4</v>
      </c>
      <c r="Y14" s="491" t="s">
        <v>103</v>
      </c>
      <c r="Z14" s="399">
        <v>1985</v>
      </c>
      <c r="AA14" s="400" t="s">
        <v>35</v>
      </c>
      <c r="AB14" s="492">
        <v>3.5</v>
      </c>
      <c r="AC14" s="492"/>
      <c r="AD14" s="499">
        <v>26</v>
      </c>
      <c r="AE14" s="492"/>
      <c r="AF14" s="492"/>
      <c r="AG14" s="492">
        <v>2.4</v>
      </c>
      <c r="AH14" s="494">
        <v>31.9</v>
      </c>
      <c r="AI14" s="518"/>
      <c r="AJ14" s="522" t="s">
        <v>363</v>
      </c>
      <c r="AK14" s="496"/>
    </row>
    <row r="15" spans="2:37" s="312" customFormat="1" ht="14.25">
      <c r="B15" s="491" t="s">
        <v>104</v>
      </c>
      <c r="C15" s="530">
        <v>1733</v>
      </c>
      <c r="D15" s="400" t="str">
        <f t="shared" si="0"/>
        <v>ケロニア</v>
      </c>
      <c r="E15" s="492"/>
      <c r="F15" s="492"/>
      <c r="G15" s="500">
        <v>21.4</v>
      </c>
      <c r="H15" s="492">
        <v>8.8000000000000007</v>
      </c>
      <c r="I15" s="492">
        <v>15</v>
      </c>
      <c r="J15" s="523">
        <v>13.8</v>
      </c>
      <c r="K15" s="494">
        <f t="shared" si="1"/>
        <v>59</v>
      </c>
      <c r="L15" s="495"/>
      <c r="M15" s="522" t="s">
        <v>363</v>
      </c>
      <c r="N15" s="496"/>
      <c r="O15" s="497"/>
      <c r="P15" s="498" t="s">
        <v>104</v>
      </c>
      <c r="Q15" s="399">
        <v>1733</v>
      </c>
      <c r="R15" s="400" t="s">
        <v>146</v>
      </c>
      <c r="S15" s="490">
        <v>23.799999999999997</v>
      </c>
      <c r="T15" s="490">
        <v>59</v>
      </c>
      <c r="U15" s="490">
        <f t="shared" si="2"/>
        <v>82.8</v>
      </c>
      <c r="Y15" s="491" t="s">
        <v>104</v>
      </c>
      <c r="Z15" s="399">
        <v>321</v>
      </c>
      <c r="AA15" s="400" t="s">
        <v>30</v>
      </c>
      <c r="AB15" s="492">
        <v>12.9</v>
      </c>
      <c r="AC15" s="492">
        <v>1</v>
      </c>
      <c r="AD15" s="492">
        <v>10</v>
      </c>
      <c r="AE15" s="501"/>
      <c r="AF15" s="492"/>
      <c r="AG15" s="492">
        <v>7.1</v>
      </c>
      <c r="AH15" s="494">
        <v>31</v>
      </c>
      <c r="AI15" s="495" t="s">
        <v>363</v>
      </c>
      <c r="AJ15" s="522" t="s">
        <v>363</v>
      </c>
      <c r="AK15" s="496"/>
    </row>
    <row r="16" spans="2:37" s="312" customFormat="1" ht="14.25">
      <c r="B16" s="504" t="s">
        <v>105</v>
      </c>
      <c r="C16" s="249">
        <v>131</v>
      </c>
      <c r="D16" s="414" t="str">
        <f t="shared" si="0"/>
        <v>ふるたか</v>
      </c>
      <c r="E16" s="577">
        <v>10</v>
      </c>
      <c r="F16" s="514">
        <v>14</v>
      </c>
      <c r="G16" s="508">
        <v>4.3</v>
      </c>
      <c r="H16" s="507">
        <v>2.5</v>
      </c>
      <c r="I16" s="506">
        <v>19.3</v>
      </c>
      <c r="J16" s="506">
        <v>8.8000000000000007</v>
      </c>
      <c r="K16" s="509">
        <f t="shared" si="1"/>
        <v>58.900000000000006</v>
      </c>
      <c r="L16" s="510" t="s">
        <v>445</v>
      </c>
      <c r="M16" s="524" t="s">
        <v>363</v>
      </c>
      <c r="N16" s="511"/>
      <c r="O16" s="488" t="s">
        <v>165</v>
      </c>
      <c r="P16" s="512" t="s">
        <v>105</v>
      </c>
      <c r="Q16" s="413">
        <v>131</v>
      </c>
      <c r="R16" s="414" t="s">
        <v>25</v>
      </c>
      <c r="S16" s="513">
        <v>20.8</v>
      </c>
      <c r="T16" s="513">
        <v>58.900000000000006</v>
      </c>
      <c r="U16" s="513">
        <f t="shared" si="2"/>
        <v>79.7</v>
      </c>
      <c r="Y16" s="504" t="s">
        <v>105</v>
      </c>
      <c r="Z16" s="413">
        <v>346</v>
      </c>
      <c r="AA16" s="414" t="s">
        <v>31</v>
      </c>
      <c r="AB16" s="506">
        <v>5.9</v>
      </c>
      <c r="AC16" s="506">
        <v>1</v>
      </c>
      <c r="AD16" s="506">
        <v>18</v>
      </c>
      <c r="AE16" s="506"/>
      <c r="AF16" s="506"/>
      <c r="AG16" s="506">
        <v>3.5</v>
      </c>
      <c r="AH16" s="509">
        <v>28.4</v>
      </c>
      <c r="AI16" s="510" t="s">
        <v>363</v>
      </c>
      <c r="AJ16" s="524" t="s">
        <v>363</v>
      </c>
      <c r="AK16" s="511"/>
    </row>
    <row r="17" spans="2:37" s="312" customFormat="1" ht="14.25">
      <c r="B17" s="481" t="s">
        <v>126</v>
      </c>
      <c r="C17" s="223">
        <v>346</v>
      </c>
      <c r="D17" s="452" t="str">
        <f t="shared" si="0"/>
        <v>飛車角</v>
      </c>
      <c r="E17" s="482">
        <v>3.8</v>
      </c>
      <c r="F17" s="521">
        <v>1</v>
      </c>
      <c r="G17" s="578">
        <v>12.9</v>
      </c>
      <c r="H17" s="482">
        <v>5</v>
      </c>
      <c r="I17" s="482">
        <v>17.100000000000001</v>
      </c>
      <c r="J17" s="482">
        <v>5</v>
      </c>
      <c r="K17" s="517">
        <f t="shared" si="1"/>
        <v>44.8</v>
      </c>
      <c r="L17" s="518" t="s">
        <v>445</v>
      </c>
      <c r="M17" s="525" t="s">
        <v>363</v>
      </c>
      <c r="N17" s="519"/>
      <c r="O17" s="497"/>
      <c r="P17" s="489" t="s">
        <v>106</v>
      </c>
      <c r="Q17" s="387">
        <v>346</v>
      </c>
      <c r="R17" s="452" t="s">
        <v>31</v>
      </c>
      <c r="S17" s="520">
        <v>28.4</v>
      </c>
      <c r="T17" s="520">
        <v>44.8</v>
      </c>
      <c r="U17" s="520">
        <f t="shared" si="2"/>
        <v>73.199999999999989</v>
      </c>
      <c r="Y17" s="481" t="s">
        <v>106</v>
      </c>
      <c r="Z17" s="387">
        <v>380</v>
      </c>
      <c r="AA17" s="452" t="s">
        <v>153</v>
      </c>
      <c r="AB17" s="482">
        <v>9.4</v>
      </c>
      <c r="AC17" s="516"/>
      <c r="AD17" s="521"/>
      <c r="AE17" s="482"/>
      <c r="AF17" s="482"/>
      <c r="AG17" s="526">
        <v>17.600000000000001</v>
      </c>
      <c r="AH17" s="517">
        <v>27</v>
      </c>
      <c r="AI17" s="518"/>
      <c r="AJ17" s="525" t="s">
        <v>363</v>
      </c>
      <c r="AK17" s="519"/>
    </row>
    <row r="18" spans="2:37" s="312" customFormat="1" ht="14.25">
      <c r="B18" s="491" t="s">
        <v>127</v>
      </c>
      <c r="C18" s="236">
        <v>199</v>
      </c>
      <c r="D18" s="452" t="str">
        <f t="shared" si="0"/>
        <v>サ－モン4</v>
      </c>
      <c r="E18" s="492">
        <v>2.5</v>
      </c>
      <c r="F18" s="499">
        <v>10</v>
      </c>
      <c r="G18" s="501">
        <v>1</v>
      </c>
      <c r="H18" s="492">
        <v>6.3</v>
      </c>
      <c r="I18" s="492">
        <v>23.6</v>
      </c>
      <c r="J18" s="492">
        <v>1</v>
      </c>
      <c r="K18" s="494">
        <f t="shared" si="1"/>
        <v>44.400000000000006</v>
      </c>
      <c r="L18" s="495" t="s">
        <v>445</v>
      </c>
      <c r="M18" s="522" t="s">
        <v>363</v>
      </c>
      <c r="N18" s="496"/>
      <c r="O18" s="488"/>
      <c r="P18" s="498" t="s">
        <v>107</v>
      </c>
      <c r="Q18" s="399">
        <v>2212</v>
      </c>
      <c r="R18" s="452" t="s">
        <v>36</v>
      </c>
      <c r="S18" s="490">
        <v>33.799999999999997</v>
      </c>
      <c r="T18" s="490">
        <v>38.4</v>
      </c>
      <c r="U18" s="490">
        <f t="shared" si="2"/>
        <v>72.199999999999989</v>
      </c>
      <c r="Y18" s="491" t="s">
        <v>107</v>
      </c>
      <c r="Z18" s="399">
        <v>6735</v>
      </c>
      <c r="AA18" s="452" t="s">
        <v>320</v>
      </c>
      <c r="AB18" s="492"/>
      <c r="AC18" s="492">
        <v>1</v>
      </c>
      <c r="AD18" s="499">
        <v>12</v>
      </c>
      <c r="AE18" s="492"/>
      <c r="AF18" s="492"/>
      <c r="AG18" s="492">
        <v>12.9</v>
      </c>
      <c r="AH18" s="494">
        <v>25.9</v>
      </c>
      <c r="AI18" s="495"/>
      <c r="AJ18" s="522" t="s">
        <v>363</v>
      </c>
      <c r="AK18" s="496"/>
    </row>
    <row r="19" spans="2:37" s="312" customFormat="1" ht="14.25">
      <c r="B19" s="491" t="s">
        <v>108</v>
      </c>
      <c r="C19" s="236">
        <v>2212</v>
      </c>
      <c r="D19" s="400" t="str">
        <f t="shared" si="0"/>
        <v>衣笠</v>
      </c>
      <c r="E19" s="492">
        <v>13.8</v>
      </c>
      <c r="F19" s="492"/>
      <c r="G19" s="500">
        <v>2.1</v>
      </c>
      <c r="H19" s="492">
        <v>15</v>
      </c>
      <c r="I19" s="492"/>
      <c r="J19" s="492">
        <v>7.5</v>
      </c>
      <c r="K19" s="494">
        <f t="shared" si="1"/>
        <v>38.4</v>
      </c>
      <c r="L19" s="495"/>
      <c r="M19" s="522" t="s">
        <v>363</v>
      </c>
      <c r="N19" s="496"/>
      <c r="O19" s="488"/>
      <c r="P19" s="498" t="s">
        <v>108</v>
      </c>
      <c r="Q19" s="399">
        <v>199</v>
      </c>
      <c r="R19" s="400" t="s">
        <v>28</v>
      </c>
      <c r="S19" s="490">
        <v>12.9</v>
      </c>
      <c r="T19" s="490">
        <v>44.400000000000006</v>
      </c>
      <c r="U19" s="490">
        <f t="shared" si="2"/>
        <v>57.300000000000004</v>
      </c>
      <c r="Y19" s="491" t="s">
        <v>108</v>
      </c>
      <c r="Z19" s="399">
        <v>1733</v>
      </c>
      <c r="AA19" s="400" t="s">
        <v>146</v>
      </c>
      <c r="AB19" s="492">
        <v>10.6</v>
      </c>
      <c r="AC19" s="501">
        <v>1</v>
      </c>
      <c r="AD19" s="501">
        <v>4</v>
      </c>
      <c r="AE19" s="492"/>
      <c r="AF19" s="492"/>
      <c r="AG19" s="492">
        <v>8.1999999999999993</v>
      </c>
      <c r="AH19" s="494">
        <v>23.799999999999997</v>
      </c>
      <c r="AI19" s="495" t="s">
        <v>363</v>
      </c>
      <c r="AJ19" s="522" t="s">
        <v>363</v>
      </c>
      <c r="AK19" s="496"/>
    </row>
    <row r="20" spans="2:37" s="312" customFormat="1" ht="14.25">
      <c r="B20" s="491" t="s">
        <v>109</v>
      </c>
      <c r="C20" s="399">
        <v>6714</v>
      </c>
      <c r="D20" s="400" t="str">
        <f t="shared" si="0"/>
        <v>HAURAKI</v>
      </c>
      <c r="E20" s="492"/>
      <c r="F20" s="501"/>
      <c r="G20" s="499"/>
      <c r="H20" s="492"/>
      <c r="I20" s="492">
        <v>30</v>
      </c>
      <c r="J20" s="492"/>
      <c r="K20" s="494">
        <f t="shared" si="1"/>
        <v>30</v>
      </c>
      <c r="L20" s="495"/>
      <c r="M20" s="522"/>
      <c r="N20" s="496"/>
      <c r="O20" s="497"/>
      <c r="P20" s="498" t="s">
        <v>109</v>
      </c>
      <c r="Q20" s="399">
        <v>162</v>
      </c>
      <c r="R20" s="400" t="s">
        <v>257</v>
      </c>
      <c r="S20" s="490">
        <v>22.7</v>
      </c>
      <c r="T20" s="490">
        <v>24.299999999999997</v>
      </c>
      <c r="U20" s="490">
        <f t="shared" si="2"/>
        <v>47</v>
      </c>
      <c r="Y20" s="491" t="s">
        <v>109</v>
      </c>
      <c r="Z20" s="399">
        <v>162</v>
      </c>
      <c r="AA20" s="400" t="s">
        <v>257</v>
      </c>
      <c r="AB20" s="492">
        <v>4.7</v>
      </c>
      <c r="AC20" s="499">
        <v>1</v>
      </c>
      <c r="AD20" s="499">
        <v>16</v>
      </c>
      <c r="AE20" s="492"/>
      <c r="AF20" s="492"/>
      <c r="AG20" s="492">
        <v>1</v>
      </c>
      <c r="AH20" s="494">
        <v>22.7</v>
      </c>
      <c r="AI20" s="495" t="s">
        <v>363</v>
      </c>
      <c r="AJ20" s="522" t="s">
        <v>363</v>
      </c>
      <c r="AK20" s="496"/>
    </row>
    <row r="21" spans="2:37" s="312" customFormat="1" ht="14.25">
      <c r="B21" s="504" t="s">
        <v>110</v>
      </c>
      <c r="C21" s="249">
        <v>6793</v>
      </c>
      <c r="D21" s="505" t="str">
        <f t="shared" si="0"/>
        <v>Miss Nippon Ⅷ</v>
      </c>
      <c r="E21" s="577">
        <v>16.3</v>
      </c>
      <c r="F21" s="506"/>
      <c r="G21" s="579"/>
      <c r="H21" s="509"/>
      <c r="I21" s="577"/>
      <c r="J21" s="506">
        <v>12.5</v>
      </c>
      <c r="K21" s="509">
        <f t="shared" si="1"/>
        <v>28.8</v>
      </c>
      <c r="L21" s="510"/>
      <c r="M21" s="524" t="s">
        <v>363</v>
      </c>
      <c r="N21" s="511"/>
      <c r="O21" s="488"/>
      <c r="P21" s="512" t="s">
        <v>110</v>
      </c>
      <c r="Q21" s="413">
        <v>1985</v>
      </c>
      <c r="R21" s="505" t="s">
        <v>35</v>
      </c>
      <c r="S21" s="513">
        <v>31.9</v>
      </c>
      <c r="T21" s="513">
        <v>13.3</v>
      </c>
      <c r="U21" s="513">
        <f t="shared" si="2"/>
        <v>45.2</v>
      </c>
      <c r="Y21" s="504" t="s">
        <v>110</v>
      </c>
      <c r="Z21" s="413">
        <v>3387</v>
      </c>
      <c r="AA21" s="505" t="s">
        <v>156</v>
      </c>
      <c r="AB21" s="506"/>
      <c r="AC21" s="506">
        <v>1</v>
      </c>
      <c r="AD21" s="515"/>
      <c r="AE21" s="506"/>
      <c r="AF21" s="506"/>
      <c r="AG21" s="506">
        <v>20</v>
      </c>
      <c r="AH21" s="509">
        <v>21</v>
      </c>
      <c r="AI21" s="510"/>
      <c r="AJ21" s="524" t="s">
        <v>363</v>
      </c>
      <c r="AK21" s="511"/>
    </row>
    <row r="22" spans="2:37" s="312" customFormat="1" ht="14.25">
      <c r="B22" s="481" t="s">
        <v>111</v>
      </c>
      <c r="C22" s="271">
        <v>2759</v>
      </c>
      <c r="D22" s="388" t="str">
        <f t="shared" si="0"/>
        <v>イクソラⅢ</v>
      </c>
      <c r="E22" s="482">
        <v>5</v>
      </c>
      <c r="F22" s="482">
        <v>12</v>
      </c>
      <c r="G22" s="580">
        <v>6.4</v>
      </c>
      <c r="H22" s="482"/>
      <c r="I22" s="482">
        <v>4.3</v>
      </c>
      <c r="J22" s="482"/>
      <c r="K22" s="485">
        <f t="shared" si="1"/>
        <v>27.7</v>
      </c>
      <c r="L22" s="486"/>
      <c r="M22" s="525" t="s">
        <v>447</v>
      </c>
      <c r="N22" s="519"/>
      <c r="O22" s="488"/>
      <c r="P22" s="489" t="s">
        <v>111</v>
      </c>
      <c r="Q22" s="433">
        <v>6735</v>
      </c>
      <c r="R22" s="388" t="s">
        <v>320</v>
      </c>
      <c r="S22" s="520">
        <v>25.9</v>
      </c>
      <c r="T22" s="520">
        <v>12.5</v>
      </c>
      <c r="U22" s="520">
        <f t="shared" si="2"/>
        <v>38.4</v>
      </c>
      <c r="Y22" s="481" t="s">
        <v>111</v>
      </c>
      <c r="Z22" s="527">
        <v>131</v>
      </c>
      <c r="AA22" s="388" t="s">
        <v>25</v>
      </c>
      <c r="AB22" s="482">
        <v>7.1</v>
      </c>
      <c r="AC22" s="521">
        <v>1</v>
      </c>
      <c r="AD22" s="521">
        <v>8</v>
      </c>
      <c r="AE22" s="516"/>
      <c r="AF22" s="482"/>
      <c r="AG22" s="482">
        <v>4.7</v>
      </c>
      <c r="AH22" s="517">
        <v>20.8</v>
      </c>
      <c r="AI22" s="518" t="s">
        <v>363</v>
      </c>
      <c r="AJ22" s="525" t="s">
        <v>363</v>
      </c>
      <c r="AK22" s="519"/>
    </row>
    <row r="23" spans="2:37" s="312" customFormat="1" ht="14.25">
      <c r="B23" s="491" t="s">
        <v>112</v>
      </c>
      <c r="C23" s="399">
        <v>162</v>
      </c>
      <c r="D23" s="400" t="str">
        <f t="shared" si="0"/>
        <v>ﾌｪﾆｯｸｽ</v>
      </c>
      <c r="E23" s="528">
        <v>1.3</v>
      </c>
      <c r="F23" s="529">
        <v>1</v>
      </c>
      <c r="G23" s="529"/>
      <c r="H23" s="528">
        <v>1.3</v>
      </c>
      <c r="I23" s="528">
        <v>10.7</v>
      </c>
      <c r="J23" s="528">
        <v>10</v>
      </c>
      <c r="K23" s="517">
        <f t="shared" si="1"/>
        <v>24.299999999999997</v>
      </c>
      <c r="L23" s="495"/>
      <c r="M23" s="525" t="s">
        <v>446</v>
      </c>
      <c r="N23" s="519"/>
      <c r="O23" s="497"/>
      <c r="P23" s="498" t="s">
        <v>112</v>
      </c>
      <c r="Q23" s="399">
        <v>2759</v>
      </c>
      <c r="R23" s="400" t="s">
        <v>39</v>
      </c>
      <c r="S23" s="490">
        <v>2.4</v>
      </c>
      <c r="T23" s="490">
        <v>27.7</v>
      </c>
      <c r="U23" s="490">
        <f t="shared" si="2"/>
        <v>30.099999999999998</v>
      </c>
      <c r="Y23" s="491" t="s">
        <v>112</v>
      </c>
      <c r="Z23" s="399">
        <v>4469</v>
      </c>
      <c r="AA23" s="400" t="s">
        <v>42</v>
      </c>
      <c r="AB23" s="503">
        <v>11.8</v>
      </c>
      <c r="AC23" s="523">
        <v>1</v>
      </c>
      <c r="AD23" s="499">
        <v>2</v>
      </c>
      <c r="AE23" s="492"/>
      <c r="AF23" s="492"/>
      <c r="AG23" s="492"/>
      <c r="AH23" s="494">
        <v>14.8</v>
      </c>
      <c r="AI23" s="495"/>
      <c r="AJ23" s="525" t="s">
        <v>363</v>
      </c>
      <c r="AK23" s="519"/>
    </row>
    <row r="24" spans="2:37" s="312" customFormat="1" ht="14.25">
      <c r="B24" s="491" t="s">
        <v>113</v>
      </c>
      <c r="C24" s="399">
        <v>6766</v>
      </c>
      <c r="D24" s="400" t="str">
        <f t="shared" si="0"/>
        <v>くろしお</v>
      </c>
      <c r="E24" s="492"/>
      <c r="F24" s="492"/>
      <c r="G24" s="499">
        <v>10.7</v>
      </c>
      <c r="H24" s="492">
        <v>10</v>
      </c>
      <c r="I24" s="492"/>
      <c r="J24" s="492"/>
      <c r="K24" s="494">
        <f t="shared" si="1"/>
        <v>20.7</v>
      </c>
      <c r="L24" s="495"/>
      <c r="M24" s="522" t="s">
        <v>445</v>
      </c>
      <c r="N24" s="496"/>
      <c r="O24" s="497"/>
      <c r="P24" s="498" t="s">
        <v>113</v>
      </c>
      <c r="Q24" s="399">
        <v>6714</v>
      </c>
      <c r="R24" s="400" t="s">
        <v>154</v>
      </c>
      <c r="S24" s="490"/>
      <c r="T24" s="490">
        <v>30</v>
      </c>
      <c r="U24" s="490">
        <f t="shared" si="2"/>
        <v>30</v>
      </c>
      <c r="Y24" s="491" t="s">
        <v>113</v>
      </c>
      <c r="Z24" s="530">
        <v>199</v>
      </c>
      <c r="AA24" s="400" t="s">
        <v>28</v>
      </c>
      <c r="AB24" s="492"/>
      <c r="AC24" s="492">
        <v>1</v>
      </c>
      <c r="AD24" s="499">
        <v>6</v>
      </c>
      <c r="AE24" s="492"/>
      <c r="AF24" s="492"/>
      <c r="AG24" s="523">
        <v>5.9</v>
      </c>
      <c r="AH24" s="494">
        <v>12.9</v>
      </c>
      <c r="AI24" s="495"/>
      <c r="AJ24" s="522" t="s">
        <v>363</v>
      </c>
      <c r="AK24" s="496"/>
    </row>
    <row r="25" spans="2:37" s="312" customFormat="1" ht="14.25">
      <c r="B25" s="491" t="s">
        <v>114</v>
      </c>
      <c r="C25" s="399">
        <v>5496</v>
      </c>
      <c r="D25" s="400" t="str">
        <f t="shared" si="0"/>
        <v>桜工</v>
      </c>
      <c r="E25" s="492"/>
      <c r="F25" s="499"/>
      <c r="G25" s="499">
        <v>15</v>
      </c>
      <c r="H25" s="523"/>
      <c r="I25" s="492"/>
      <c r="J25" s="492"/>
      <c r="K25" s="494">
        <f t="shared" si="1"/>
        <v>15</v>
      </c>
      <c r="L25" s="495"/>
      <c r="M25" s="522"/>
      <c r="N25" s="496"/>
      <c r="O25" s="531"/>
      <c r="P25" s="498" t="s">
        <v>114</v>
      </c>
      <c r="Q25" s="442">
        <v>6793</v>
      </c>
      <c r="R25" s="400" t="s">
        <v>251</v>
      </c>
      <c r="S25" s="490"/>
      <c r="T25" s="490">
        <v>28.8</v>
      </c>
      <c r="U25" s="490">
        <f t="shared" si="2"/>
        <v>28.8</v>
      </c>
      <c r="Y25" s="491" t="s">
        <v>114</v>
      </c>
      <c r="Z25" s="530">
        <v>2759</v>
      </c>
      <c r="AA25" s="400" t="s">
        <v>39</v>
      </c>
      <c r="AB25" s="492">
        <v>2.4</v>
      </c>
      <c r="AC25" s="492"/>
      <c r="AD25" s="499"/>
      <c r="AE25" s="492"/>
      <c r="AF25" s="492"/>
      <c r="AG25" s="492"/>
      <c r="AH25" s="494">
        <v>2.4</v>
      </c>
      <c r="AI25" s="495"/>
      <c r="AJ25" s="522"/>
      <c r="AK25" s="496"/>
    </row>
    <row r="26" spans="2:37" s="312" customFormat="1" ht="14.25">
      <c r="B26" s="504" t="s">
        <v>128</v>
      </c>
      <c r="C26" s="413">
        <v>3387</v>
      </c>
      <c r="D26" s="414" t="str">
        <f t="shared" si="0"/>
        <v>BASIC</v>
      </c>
      <c r="E26" s="514"/>
      <c r="F26" s="506"/>
      <c r="G26" s="515"/>
      <c r="H26" s="506">
        <v>13.8</v>
      </c>
      <c r="I26" s="506"/>
      <c r="J26" s="506"/>
      <c r="K26" s="509">
        <f t="shared" si="1"/>
        <v>13.8</v>
      </c>
      <c r="L26" s="510"/>
      <c r="M26" s="524"/>
      <c r="N26" s="511"/>
      <c r="O26" s="497"/>
      <c r="P26" s="512" t="s">
        <v>115</v>
      </c>
      <c r="Q26" s="413">
        <v>4469</v>
      </c>
      <c r="R26" s="414" t="s">
        <v>42</v>
      </c>
      <c r="S26" s="513">
        <v>14.8</v>
      </c>
      <c r="T26" s="513">
        <v>13.3</v>
      </c>
      <c r="U26" s="513">
        <f t="shared" si="2"/>
        <v>28.1</v>
      </c>
      <c r="Y26" s="504" t="s">
        <v>115</v>
      </c>
      <c r="Z26" s="413">
        <v>4323</v>
      </c>
      <c r="AA26" s="414" t="s">
        <v>40</v>
      </c>
      <c r="AB26" s="506">
        <v>1.2</v>
      </c>
      <c r="AC26" s="507"/>
      <c r="AD26" s="515"/>
      <c r="AE26" s="506"/>
      <c r="AF26" s="506"/>
      <c r="AG26" s="506"/>
      <c r="AH26" s="509">
        <v>1.2</v>
      </c>
      <c r="AI26" s="510"/>
      <c r="AJ26" s="524"/>
      <c r="AK26" s="511"/>
    </row>
    <row r="27" spans="2:37" s="312" customFormat="1" ht="14.25">
      <c r="B27" s="481" t="s">
        <v>116</v>
      </c>
      <c r="C27" s="236">
        <v>4469</v>
      </c>
      <c r="D27" s="452" t="str">
        <f t="shared" si="0"/>
        <v>未央</v>
      </c>
      <c r="E27" s="482">
        <v>11.3</v>
      </c>
      <c r="F27" s="521">
        <v>1</v>
      </c>
      <c r="G27" s="580"/>
      <c r="H27" s="482"/>
      <c r="I27" s="482"/>
      <c r="J27" s="526">
        <v>1</v>
      </c>
      <c r="K27" s="517">
        <f t="shared" si="1"/>
        <v>13.3</v>
      </c>
      <c r="L27" s="518"/>
      <c r="M27" s="525" t="s">
        <v>445</v>
      </c>
      <c r="N27" s="519"/>
      <c r="O27" s="497"/>
      <c r="P27" s="489" t="s">
        <v>116</v>
      </c>
      <c r="Q27" s="442">
        <v>6766</v>
      </c>
      <c r="R27" s="452" t="s">
        <v>38</v>
      </c>
      <c r="S27" s="520">
        <v>1</v>
      </c>
      <c r="T27" s="520">
        <v>20.7</v>
      </c>
      <c r="U27" s="520">
        <f t="shared" si="2"/>
        <v>21.7</v>
      </c>
      <c r="Y27" s="481" t="s">
        <v>116</v>
      </c>
      <c r="Z27" s="399">
        <v>6766</v>
      </c>
      <c r="AA27" s="452" t="s">
        <v>38</v>
      </c>
      <c r="AB27" s="526"/>
      <c r="AC27" s="482">
        <v>1</v>
      </c>
      <c r="AD27" s="533"/>
      <c r="AE27" s="482"/>
      <c r="AF27" s="482"/>
      <c r="AG27" s="482"/>
      <c r="AH27" s="517">
        <v>1</v>
      </c>
      <c r="AI27" s="518"/>
      <c r="AJ27" s="525"/>
      <c r="AK27" s="519"/>
    </row>
    <row r="28" spans="2:37" s="312" customFormat="1" ht="14.25">
      <c r="B28" s="491" t="s">
        <v>117</v>
      </c>
      <c r="C28" s="433">
        <v>1985</v>
      </c>
      <c r="D28" s="400" t="str">
        <f t="shared" si="0"/>
        <v>波勝</v>
      </c>
      <c r="E28" s="492"/>
      <c r="F28" s="523">
        <v>1</v>
      </c>
      <c r="G28" s="570">
        <v>1</v>
      </c>
      <c r="H28" s="492"/>
      <c r="I28" s="492"/>
      <c r="J28" s="492">
        <v>11.3</v>
      </c>
      <c r="K28" s="494">
        <f t="shared" si="1"/>
        <v>13.3</v>
      </c>
      <c r="L28" s="495"/>
      <c r="M28" s="522" t="s">
        <v>445</v>
      </c>
      <c r="N28" s="496"/>
      <c r="O28" s="488"/>
      <c r="P28" s="498" t="s">
        <v>117</v>
      </c>
      <c r="Q28" s="433">
        <v>3387</v>
      </c>
      <c r="R28" s="400" t="s">
        <v>156</v>
      </c>
      <c r="S28" s="490">
        <v>21</v>
      </c>
      <c r="T28" s="490"/>
      <c r="U28" s="490">
        <f t="shared" si="2"/>
        <v>21</v>
      </c>
      <c r="Y28" s="491" t="s">
        <v>117</v>
      </c>
      <c r="Z28" s="433"/>
      <c r="AA28" s="400" t="s">
        <v>90</v>
      </c>
      <c r="AB28" s="492"/>
      <c r="AC28" s="501"/>
      <c r="AD28" s="499"/>
      <c r="AE28" s="492"/>
      <c r="AF28" s="492"/>
      <c r="AG28" s="492"/>
      <c r="AH28" s="494"/>
      <c r="AI28" s="495"/>
      <c r="AJ28" s="522"/>
      <c r="AK28" s="496"/>
    </row>
    <row r="29" spans="2:37" s="312" customFormat="1" ht="14.25">
      <c r="B29" s="491" t="s">
        <v>118</v>
      </c>
      <c r="C29" s="399">
        <v>6735</v>
      </c>
      <c r="D29" s="400" t="str">
        <f t="shared" si="0"/>
        <v>VEGA</v>
      </c>
      <c r="E29" s="501"/>
      <c r="F29" s="492"/>
      <c r="G29" s="581"/>
      <c r="H29" s="492">
        <v>12.5</v>
      </c>
      <c r="I29" s="492"/>
      <c r="J29" s="492"/>
      <c r="K29" s="494">
        <f t="shared" si="1"/>
        <v>12.5</v>
      </c>
      <c r="L29" s="495"/>
      <c r="M29" s="522"/>
      <c r="N29" s="496"/>
      <c r="O29" s="488"/>
      <c r="P29" s="498" t="s">
        <v>118</v>
      </c>
      <c r="Q29" s="530">
        <v>5496</v>
      </c>
      <c r="R29" s="400" t="s">
        <v>222</v>
      </c>
      <c r="S29" s="490"/>
      <c r="T29" s="490">
        <v>15</v>
      </c>
      <c r="U29" s="490">
        <f t="shared" si="2"/>
        <v>15</v>
      </c>
      <c r="Y29" s="491" t="s">
        <v>118</v>
      </c>
      <c r="Z29" s="399"/>
      <c r="AA29" s="400" t="str">
        <f t="shared" ref="AA29:AA34" si="3">IF(ISBLANK(Z29),"",VLOOKUP(Z29,各艇データ,2,FALSE))</f>
        <v/>
      </c>
      <c r="AB29" s="523"/>
      <c r="AC29" s="492"/>
      <c r="AD29" s="499"/>
      <c r="AE29" s="492"/>
      <c r="AF29" s="492"/>
      <c r="AG29" s="492"/>
      <c r="AH29" s="494">
        <f t="shared" ref="AH29:AH34" si="4">SUM(AB29:AG29)</f>
        <v>0</v>
      </c>
      <c r="AI29" s="495"/>
      <c r="AJ29" s="522" t="s">
        <v>262</v>
      </c>
      <c r="AK29" s="496"/>
    </row>
    <row r="30" spans="2:37" s="312" customFormat="1" ht="14.25">
      <c r="B30" s="491" t="s">
        <v>119</v>
      </c>
      <c r="C30" s="399">
        <v>4010</v>
      </c>
      <c r="D30" s="400" t="str">
        <f t="shared" si="0"/>
        <v>ナジャ</v>
      </c>
      <c r="E30" s="492"/>
      <c r="F30" s="501"/>
      <c r="G30" s="499">
        <v>8.6</v>
      </c>
      <c r="H30" s="492"/>
      <c r="I30" s="492"/>
      <c r="J30" s="501"/>
      <c r="K30" s="494">
        <f t="shared" si="1"/>
        <v>8.6</v>
      </c>
      <c r="L30" s="495"/>
      <c r="M30" s="522"/>
      <c r="N30" s="496"/>
      <c r="O30" s="488"/>
      <c r="P30" s="498" t="s">
        <v>119</v>
      </c>
      <c r="Q30" s="399">
        <v>3387</v>
      </c>
      <c r="R30" s="400" t="s">
        <v>156</v>
      </c>
      <c r="S30" s="490"/>
      <c r="T30" s="490">
        <v>13.8</v>
      </c>
      <c r="U30" s="490">
        <f t="shared" si="2"/>
        <v>13.8</v>
      </c>
      <c r="Y30" s="491" t="s">
        <v>119</v>
      </c>
      <c r="Z30" s="399"/>
      <c r="AA30" s="400" t="str">
        <f t="shared" si="3"/>
        <v/>
      </c>
      <c r="AB30" s="492"/>
      <c r="AC30" s="501"/>
      <c r="AD30" s="499"/>
      <c r="AE30" s="492"/>
      <c r="AF30" s="492"/>
      <c r="AG30" s="492"/>
      <c r="AH30" s="494">
        <f t="shared" si="4"/>
        <v>0</v>
      </c>
      <c r="AI30" s="495"/>
      <c r="AJ30" s="522" t="s">
        <v>262</v>
      </c>
      <c r="AK30" s="496"/>
    </row>
    <row r="31" spans="2:37" s="312" customFormat="1" ht="15" thickBot="1">
      <c r="B31" s="504" t="s">
        <v>120</v>
      </c>
      <c r="C31" s="413">
        <v>1545</v>
      </c>
      <c r="D31" s="414" t="str">
        <f t="shared" si="0"/>
        <v>ﾌﾙｰﾄﾞﾘｽⅦ</v>
      </c>
      <c r="E31" s="506"/>
      <c r="F31" s="506"/>
      <c r="G31" s="515"/>
      <c r="H31" s="506"/>
      <c r="I31" s="506"/>
      <c r="J31" s="506">
        <v>3.8</v>
      </c>
      <c r="K31" s="509">
        <f t="shared" si="1"/>
        <v>3.8</v>
      </c>
      <c r="L31" s="510"/>
      <c r="M31" s="524"/>
      <c r="N31" s="511"/>
      <c r="O31" s="488"/>
      <c r="P31" s="512" t="s">
        <v>120</v>
      </c>
      <c r="Q31" s="413">
        <v>4010</v>
      </c>
      <c r="R31" s="414" t="s">
        <v>152</v>
      </c>
      <c r="S31" s="513"/>
      <c r="T31" s="513">
        <v>8.6</v>
      </c>
      <c r="U31" s="513">
        <f t="shared" si="2"/>
        <v>8.6</v>
      </c>
      <c r="Y31" s="504" t="s">
        <v>120</v>
      </c>
      <c r="Z31" s="413"/>
      <c r="AA31" s="414" t="str">
        <f t="shared" si="3"/>
        <v/>
      </c>
      <c r="AB31" s="506"/>
      <c r="AC31" s="506"/>
      <c r="AD31" s="515"/>
      <c r="AE31" s="506"/>
      <c r="AF31" s="506"/>
      <c r="AG31" s="506"/>
      <c r="AH31" s="509">
        <f t="shared" si="4"/>
        <v>0</v>
      </c>
      <c r="AI31" s="510"/>
      <c r="AJ31" s="524" t="s">
        <v>262</v>
      </c>
      <c r="AK31" s="534"/>
    </row>
    <row r="32" spans="2:37" s="312" customFormat="1" ht="15" thickTop="1">
      <c r="B32" s="535" t="s">
        <v>116</v>
      </c>
      <c r="C32" s="527"/>
      <c r="D32" s="452" t="str">
        <f t="shared" ref="D32:D36" si="5">IF(ISBLANK(C32),"",VLOOKUP(C32,各艇データ,2,FALSE))</f>
        <v/>
      </c>
      <c r="E32" s="536"/>
      <c r="F32" s="528"/>
      <c r="G32" s="529"/>
      <c r="H32" s="528"/>
      <c r="I32" s="537"/>
      <c r="J32" s="528"/>
      <c r="K32" s="517"/>
      <c r="L32" s="518"/>
      <c r="M32" s="525"/>
      <c r="N32" s="519"/>
      <c r="O32" s="497"/>
      <c r="P32" s="489" t="s">
        <v>116</v>
      </c>
      <c r="Q32" s="527">
        <v>1545</v>
      </c>
      <c r="R32" s="452" t="s">
        <v>255</v>
      </c>
      <c r="S32" s="520"/>
      <c r="T32" s="520">
        <v>3.8</v>
      </c>
      <c r="U32" s="520">
        <f t="shared" si="2"/>
        <v>3.8</v>
      </c>
      <c r="Y32" s="535" t="s">
        <v>116</v>
      </c>
      <c r="Z32" s="527"/>
      <c r="AA32" s="452" t="str">
        <f t="shared" si="3"/>
        <v/>
      </c>
      <c r="AB32" s="536"/>
      <c r="AC32" s="528"/>
      <c r="AD32" s="529"/>
      <c r="AE32" s="528"/>
      <c r="AF32" s="537"/>
      <c r="AG32" s="528"/>
      <c r="AH32" s="517">
        <f t="shared" si="4"/>
        <v>0</v>
      </c>
      <c r="AI32" s="518"/>
      <c r="AJ32" s="525" t="s">
        <v>262</v>
      </c>
      <c r="AK32" s="519"/>
    </row>
    <row r="33" spans="2:37" s="312" customFormat="1" ht="14.25">
      <c r="B33" s="491" t="s">
        <v>117</v>
      </c>
      <c r="C33" s="433"/>
      <c r="D33" s="400" t="str">
        <f t="shared" si="5"/>
        <v/>
      </c>
      <c r="E33" s="523"/>
      <c r="F33" s="492"/>
      <c r="G33" s="499"/>
      <c r="H33" s="492"/>
      <c r="I33" s="492"/>
      <c r="J33" s="523"/>
      <c r="K33" s="494"/>
      <c r="L33" s="495"/>
      <c r="M33" s="522"/>
      <c r="N33" s="496"/>
      <c r="O33" s="488"/>
      <c r="P33" s="498" t="s">
        <v>117</v>
      </c>
      <c r="Q33" s="551">
        <v>4323</v>
      </c>
      <c r="R33" s="400" t="s">
        <v>40</v>
      </c>
      <c r="S33" s="490">
        <v>1.2</v>
      </c>
      <c r="T33" s="490"/>
      <c r="U33" s="490">
        <f t="shared" si="2"/>
        <v>1.2</v>
      </c>
      <c r="Y33" s="491" t="s">
        <v>117</v>
      </c>
      <c r="Z33" s="433"/>
      <c r="AA33" s="400" t="str">
        <f t="shared" si="3"/>
        <v/>
      </c>
      <c r="AB33" s="523"/>
      <c r="AC33" s="492"/>
      <c r="AD33" s="499"/>
      <c r="AE33" s="492"/>
      <c r="AF33" s="492"/>
      <c r="AG33" s="523"/>
      <c r="AH33" s="494">
        <f t="shared" si="4"/>
        <v>0</v>
      </c>
      <c r="AI33" s="495"/>
      <c r="AJ33" s="522" t="s">
        <v>262</v>
      </c>
      <c r="AK33" s="496"/>
    </row>
    <row r="34" spans="2:37" s="312" customFormat="1" ht="14.25">
      <c r="B34" s="491" t="s">
        <v>118</v>
      </c>
      <c r="C34" s="442"/>
      <c r="D34" s="400" t="str">
        <f t="shared" si="5"/>
        <v/>
      </c>
      <c r="E34" s="492"/>
      <c r="F34" s="499"/>
      <c r="G34" s="499"/>
      <c r="H34" s="523"/>
      <c r="I34" s="492"/>
      <c r="J34" s="492"/>
      <c r="K34" s="494"/>
      <c r="L34" s="495"/>
      <c r="M34" s="522"/>
      <c r="N34" s="496"/>
      <c r="O34" s="488"/>
      <c r="P34" s="498" t="s">
        <v>118</v>
      </c>
      <c r="Q34" s="399"/>
      <c r="R34" s="538" t="str">
        <f t="shared" ref="R34" si="6">IF(ISBLANK(Q34),"",VLOOKUP(Q34,各艇データ,2,FALSE))</f>
        <v/>
      </c>
      <c r="S34" s="490"/>
      <c r="T34" s="490"/>
      <c r="U34" s="490"/>
      <c r="Y34" s="491" t="s">
        <v>118</v>
      </c>
      <c r="Z34" s="442"/>
      <c r="AA34" s="400" t="str">
        <f t="shared" si="3"/>
        <v/>
      </c>
      <c r="AB34" s="492"/>
      <c r="AC34" s="499"/>
      <c r="AD34" s="499"/>
      <c r="AE34" s="523"/>
      <c r="AF34" s="492"/>
      <c r="AG34" s="492"/>
      <c r="AH34" s="494">
        <f t="shared" si="4"/>
        <v>0</v>
      </c>
      <c r="AI34" s="495"/>
      <c r="AJ34" s="522"/>
      <c r="AK34" s="496"/>
    </row>
    <row r="35" spans="2:37" s="312" customFormat="1" ht="14.25">
      <c r="B35" s="491" t="s">
        <v>119</v>
      </c>
      <c r="C35" s="530"/>
      <c r="D35" s="400" t="str">
        <f t="shared" si="5"/>
        <v/>
      </c>
      <c r="E35" s="492"/>
      <c r="F35" s="492"/>
      <c r="G35" s="492"/>
      <c r="H35" s="492"/>
      <c r="I35" s="492"/>
      <c r="J35" s="523"/>
      <c r="K35" s="494"/>
      <c r="L35" s="495"/>
      <c r="M35" s="522"/>
      <c r="N35" s="496"/>
      <c r="O35" s="488"/>
      <c r="P35" s="498" t="s">
        <v>119</v>
      </c>
      <c r="Q35" s="530"/>
      <c r="R35" s="538"/>
      <c r="S35" s="490"/>
      <c r="T35" s="490"/>
      <c r="U35" s="490"/>
      <c r="Y35" s="491" t="s">
        <v>119</v>
      </c>
      <c r="Z35" s="530"/>
      <c r="AA35" s="400"/>
      <c r="AB35" s="492"/>
      <c r="AC35" s="492"/>
      <c r="AD35" s="492"/>
      <c r="AE35" s="492"/>
      <c r="AF35" s="492"/>
      <c r="AG35" s="523"/>
      <c r="AH35" s="494"/>
      <c r="AI35" s="495"/>
      <c r="AJ35" s="522"/>
      <c r="AK35" s="496"/>
    </row>
    <row r="36" spans="2:37" s="312" customFormat="1" ht="15" thickBot="1">
      <c r="B36" s="539" t="s">
        <v>120</v>
      </c>
      <c r="C36" s="540"/>
      <c r="D36" s="541" t="str">
        <f t="shared" si="5"/>
        <v/>
      </c>
      <c r="E36" s="542"/>
      <c r="F36" s="542"/>
      <c r="G36" s="542"/>
      <c r="H36" s="542"/>
      <c r="I36" s="542"/>
      <c r="J36" s="542"/>
      <c r="K36" s="543"/>
      <c r="L36" s="544"/>
      <c r="M36" s="545"/>
      <c r="N36" s="534"/>
      <c r="O36" s="488"/>
      <c r="P36" s="512" t="s">
        <v>120</v>
      </c>
      <c r="Q36" s="532"/>
      <c r="R36" s="546"/>
      <c r="S36" s="513"/>
      <c r="T36" s="513"/>
      <c r="U36" s="513"/>
      <c r="Y36" s="539" t="s">
        <v>120</v>
      </c>
      <c r="Z36" s="540"/>
      <c r="AA36" s="541" t="str">
        <f>IF(ISBLANK(Z36),"",VLOOKUP(Z36,各艇データ,2,FALSE))</f>
        <v/>
      </c>
      <c r="AB36" s="542"/>
      <c r="AC36" s="542"/>
      <c r="AD36" s="542"/>
      <c r="AE36" s="542"/>
      <c r="AF36" s="542"/>
      <c r="AG36" s="542"/>
      <c r="AH36" s="543"/>
      <c r="AI36" s="544"/>
      <c r="AJ36" s="545"/>
      <c r="AK36" s="534"/>
    </row>
    <row r="37" spans="2:37" s="312" customFormat="1" ht="15.75" thickTop="1" thickBot="1">
      <c r="B37" s="665" t="s">
        <v>121</v>
      </c>
      <c r="C37" s="666"/>
      <c r="D37" s="667"/>
      <c r="E37" s="547">
        <f t="shared" ref="E37:J37" si="7">COUNT(E7:E36)</f>
        <v>16</v>
      </c>
      <c r="F37" s="547">
        <v>15</v>
      </c>
      <c r="G37" s="547">
        <f t="shared" si="7"/>
        <v>16</v>
      </c>
      <c r="H37" s="547">
        <f t="shared" si="7"/>
        <v>16</v>
      </c>
      <c r="I37" s="547">
        <f t="shared" si="7"/>
        <v>15</v>
      </c>
      <c r="J37" s="547">
        <f t="shared" si="7"/>
        <v>17</v>
      </c>
      <c r="K37" s="547"/>
      <c r="L37" s="548"/>
      <c r="M37" s="549"/>
      <c r="N37" s="550"/>
      <c r="O37" s="488"/>
      <c r="P37" s="489" t="s">
        <v>137</v>
      </c>
      <c r="Q37" s="551"/>
      <c r="R37" s="552"/>
      <c r="S37" s="520"/>
      <c r="T37" s="520"/>
      <c r="U37" s="520"/>
      <c r="Y37" s="683" t="s">
        <v>227</v>
      </c>
      <c r="Z37" s="684"/>
      <c r="AA37" s="685"/>
      <c r="AB37" s="547">
        <f>COUNT(AB7:AB36)</f>
        <v>17</v>
      </c>
      <c r="AC37" s="547">
        <f>COUNT(AC7:AC36)</f>
        <v>17</v>
      </c>
      <c r="AD37" s="547">
        <f>COUNT(AD7:AD36)</f>
        <v>16</v>
      </c>
      <c r="AE37" s="547">
        <f>COUNT(AE7:AE36)</f>
        <v>0</v>
      </c>
      <c r="AF37" s="547">
        <f>COUNT(AF7:AF36)</f>
        <v>0</v>
      </c>
      <c r="AG37" s="547">
        <v>18</v>
      </c>
      <c r="AH37" s="547"/>
      <c r="AI37" s="548"/>
      <c r="AJ37" s="549"/>
      <c r="AK37" s="550"/>
    </row>
    <row r="38" spans="2:37" s="312" customFormat="1" ht="14.25">
      <c r="B38" s="308" t="s">
        <v>129</v>
      </c>
      <c r="C38" s="308"/>
      <c r="O38" s="553"/>
      <c r="P38" s="498" t="s">
        <v>138</v>
      </c>
      <c r="Q38" s="530"/>
      <c r="R38" s="538"/>
      <c r="S38" s="490"/>
      <c r="T38" s="490"/>
      <c r="U38" s="490"/>
      <c r="Y38" s="308" t="s">
        <v>129</v>
      </c>
      <c r="Z38" s="308"/>
    </row>
    <row r="39" spans="2:37" s="312" customFormat="1" ht="14.25">
      <c r="C39" s="308"/>
      <c r="K39" s="554"/>
      <c r="L39" s="554"/>
      <c r="M39" s="554"/>
      <c r="N39" s="554"/>
      <c r="O39" s="554"/>
      <c r="P39" s="498" t="s">
        <v>139</v>
      </c>
      <c r="Q39" s="530"/>
      <c r="R39" s="400" t="str">
        <f>IF(ISBLANK(Q39),"",VLOOKUP(Q39,各艇データ,2,FALSE))</f>
        <v/>
      </c>
      <c r="S39" s="490"/>
      <c r="T39" s="490"/>
      <c r="U39" s="490"/>
      <c r="Z39" s="308"/>
      <c r="AH39" s="554"/>
      <c r="AI39" s="554"/>
      <c r="AJ39" s="554"/>
      <c r="AK39" s="554"/>
    </row>
    <row r="40" spans="2:37" s="312" customFormat="1" ht="14.25">
      <c r="C40" s="308"/>
      <c r="J40" s="668" t="s">
        <v>122</v>
      </c>
      <c r="K40" s="668"/>
      <c r="L40" s="668"/>
      <c r="M40" s="668"/>
      <c r="N40" s="555"/>
      <c r="O40" s="556"/>
      <c r="P40" s="498" t="s">
        <v>140</v>
      </c>
      <c r="Q40" s="530"/>
      <c r="R40" s="400" t="str">
        <f>IF(ISBLANK(Q40),"",VLOOKUP(Q40,各艇データ,2,FALSE))</f>
        <v/>
      </c>
      <c r="S40" s="490"/>
      <c r="T40" s="490"/>
      <c r="U40" s="490"/>
      <c r="Z40" s="308"/>
      <c r="AG40" s="668" t="s">
        <v>122</v>
      </c>
      <c r="AH40" s="668"/>
      <c r="AI40" s="668"/>
      <c r="AJ40" s="668"/>
      <c r="AK40" s="555"/>
    </row>
    <row r="41" spans="2:37" s="312" customFormat="1" ht="15" thickBot="1">
      <c r="C41" s="308"/>
      <c r="P41" s="512" t="s">
        <v>141</v>
      </c>
      <c r="Q41" s="532"/>
      <c r="R41" s="546" t="s">
        <v>90</v>
      </c>
      <c r="S41" s="513"/>
      <c r="T41" s="513"/>
      <c r="U41" s="513"/>
      <c r="Z41" s="308"/>
    </row>
    <row r="42" spans="2:37" s="312" customFormat="1" ht="15" thickTop="1">
      <c r="C42" s="308"/>
      <c r="D42" s="557"/>
      <c r="E42" s="558"/>
      <c r="F42" s="558"/>
      <c r="G42" s="558"/>
      <c r="H42" s="558"/>
      <c r="I42" s="559"/>
      <c r="Z42" s="308"/>
      <c r="AA42" s="557"/>
      <c r="AB42" s="558"/>
      <c r="AC42" s="558"/>
      <c r="AD42" s="558"/>
      <c r="AE42" s="558"/>
      <c r="AF42" s="559"/>
    </row>
    <row r="43" spans="2:37" s="312" customFormat="1" ht="14.25">
      <c r="C43" s="308"/>
      <c r="D43" s="560" t="s">
        <v>123</v>
      </c>
      <c r="E43" s="561"/>
      <c r="G43" s="562"/>
      <c r="H43" s="562"/>
      <c r="I43" s="563"/>
      <c r="T43" s="312" t="s">
        <v>122</v>
      </c>
      <c r="Z43" s="308"/>
      <c r="AA43" s="560" t="s">
        <v>123</v>
      </c>
      <c r="AB43" s="561"/>
      <c r="AD43" s="562"/>
      <c r="AE43" s="562"/>
      <c r="AF43" s="563"/>
    </row>
    <row r="44" spans="2:37" s="312" customFormat="1" ht="14.25">
      <c r="C44" s="308"/>
      <c r="D44" s="662" t="s">
        <v>207</v>
      </c>
      <c r="E44" s="663"/>
      <c r="F44" s="562"/>
      <c r="G44" s="562"/>
      <c r="H44" s="562"/>
      <c r="I44" s="563"/>
      <c r="Z44" s="308"/>
      <c r="AA44" s="662" t="s">
        <v>207</v>
      </c>
      <c r="AB44" s="663"/>
      <c r="AC44" s="562"/>
      <c r="AD44" s="562"/>
      <c r="AE44" s="562"/>
      <c r="AF44" s="563"/>
    </row>
    <row r="45" spans="2:37" s="312" customFormat="1" ht="14.25">
      <c r="C45" s="308"/>
      <c r="D45" s="662" t="s">
        <v>208</v>
      </c>
      <c r="E45" s="663"/>
      <c r="F45" s="562"/>
      <c r="G45" s="562"/>
      <c r="H45" s="562"/>
      <c r="I45" s="563"/>
      <c r="Z45" s="308"/>
      <c r="AA45" s="662" t="s">
        <v>208</v>
      </c>
      <c r="AB45" s="663"/>
      <c r="AC45" s="562"/>
      <c r="AD45" s="562"/>
      <c r="AE45" s="562"/>
      <c r="AF45" s="563"/>
    </row>
    <row r="46" spans="2:37" s="312" customFormat="1" ht="14.25">
      <c r="C46" s="308"/>
      <c r="D46" s="560" t="s">
        <v>130</v>
      </c>
      <c r="E46" s="564" t="s">
        <v>209</v>
      </c>
      <c r="F46" s="565"/>
      <c r="G46" s="565"/>
      <c r="H46" s="565"/>
      <c r="I46" s="563"/>
      <c r="Z46" s="308"/>
      <c r="AA46" s="560" t="s">
        <v>130</v>
      </c>
      <c r="AB46" s="564" t="s">
        <v>209</v>
      </c>
      <c r="AC46" s="565"/>
      <c r="AD46" s="565"/>
      <c r="AE46" s="565"/>
      <c r="AF46" s="563"/>
    </row>
    <row r="47" spans="2:37" s="312" customFormat="1" ht="14.25">
      <c r="C47" s="308"/>
      <c r="D47" s="560" t="s">
        <v>131</v>
      </c>
      <c r="E47" s="564" t="s">
        <v>210</v>
      </c>
      <c r="F47" s="565"/>
      <c r="G47" s="565"/>
      <c r="H47" s="565"/>
      <c r="I47" s="563"/>
      <c r="K47" s="566"/>
      <c r="Z47" s="308"/>
      <c r="AA47" s="560" t="s">
        <v>131</v>
      </c>
      <c r="AB47" s="564" t="s">
        <v>210</v>
      </c>
      <c r="AC47" s="565"/>
      <c r="AD47" s="565"/>
      <c r="AE47" s="565"/>
      <c r="AF47" s="563"/>
      <c r="AH47" s="566"/>
    </row>
    <row r="48" spans="2:37" s="312" customFormat="1" ht="15" thickBot="1">
      <c r="C48" s="308"/>
      <c r="D48" s="567"/>
      <c r="E48" s="568"/>
      <c r="F48" s="568"/>
      <c r="G48" s="568"/>
      <c r="H48" s="568"/>
      <c r="I48" s="569"/>
      <c r="Z48" s="308"/>
      <c r="AA48" s="567"/>
      <c r="AB48" s="568"/>
      <c r="AC48" s="568"/>
      <c r="AD48" s="568"/>
      <c r="AE48" s="568"/>
      <c r="AF48" s="569"/>
    </row>
    <row r="49" spans="3:26" s="312" customFormat="1" ht="15" thickTop="1">
      <c r="C49" s="308"/>
      <c r="Z49" s="308"/>
    </row>
  </sheetData>
  <sheetProtection algorithmName="SHA-512" hashValue="rTrH/UbwsOpNIi15CJm4TICuj3pjLN2UtcT8H1LkS5DEBEgKyDfqc7eb+dKO3yLCeftp+ZSUV5YyJq+OuSzcTg==" saltValue="R29mMDMI7rFRj/+xNN8IRw==" spinCount="100000" sheet="1" objects="1" scenarios="1"/>
  <sortState ref="Q7:U33">
    <sortCondition descending="1" ref="U7:U33"/>
  </sortState>
  <mergeCells count="27">
    <mergeCell ref="Y37:AA37"/>
    <mergeCell ref="AG40:AJ40"/>
    <mergeCell ref="AA44:AB44"/>
    <mergeCell ref="AA45:AB45"/>
    <mergeCell ref="Y1:AJ1"/>
    <mergeCell ref="Y2:AJ2"/>
    <mergeCell ref="AG3:AJ3"/>
    <mergeCell ref="Y4:Y6"/>
    <mergeCell ref="Z4:Z6"/>
    <mergeCell ref="AA4:AA6"/>
    <mergeCell ref="AH4:AH6"/>
    <mergeCell ref="AI4:AI6"/>
    <mergeCell ref="AJ4:AJ6"/>
    <mergeCell ref="B1:M1"/>
    <mergeCell ref="B4:B6"/>
    <mergeCell ref="C4:C6"/>
    <mergeCell ref="D4:D6"/>
    <mergeCell ref="K4:K6"/>
    <mergeCell ref="L4:L6"/>
    <mergeCell ref="M4:M6"/>
    <mergeCell ref="D45:E45"/>
    <mergeCell ref="J3:M3"/>
    <mergeCell ref="B37:D37"/>
    <mergeCell ref="J40:M40"/>
    <mergeCell ref="P2:U2"/>
    <mergeCell ref="B2:M2"/>
    <mergeCell ref="D44:E44"/>
  </mergeCells>
  <phoneticPr fontId="3"/>
  <dataValidations count="3">
    <dataValidation type="list" allowBlank="1" showInputMessage="1" showErrorMessage="1" sqref="E6:J6 AB6:AG6">
      <formula1>コース</formula1>
    </dataValidation>
    <dataValidation type="list" allowBlank="1" showInputMessage="1" showErrorMessage="1" sqref="E4:J4 AB4:AG4 N4">
      <formula1>レース番号</formula1>
    </dataValidation>
    <dataValidation type="list" allowBlank="1" showInputMessage="1" showErrorMessage="1" sqref="E5:J5 AB5:AG5">
      <formula1>開催日</formula1>
    </dataValidation>
  </dataValidations>
  <pageMargins left="0.51181102362204722" right="0.31496062992125984" top="0.74803149606299213" bottom="0.74803149606299213" header="0.31496062992125984" footer="0.31496062992125984"/>
  <pageSetup paperSize="9"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workbookViewId="0">
      <selection activeCell="N25" sqref="N25"/>
    </sheetView>
  </sheetViews>
  <sheetFormatPr defaultRowHeight="13.5"/>
  <cols>
    <col min="1" max="1" width="2.5" customWidth="1"/>
    <col min="2" max="13" width="8.375" customWidth="1"/>
    <col min="14" max="14" width="9.25" customWidth="1"/>
    <col min="15" max="15" width="7.625" customWidth="1"/>
    <col min="16" max="16" width="15.125" customWidth="1"/>
    <col min="17" max="17" width="13.875" customWidth="1"/>
    <col min="18" max="18" width="13.75" bestFit="1" customWidth="1"/>
    <col min="19" max="19" width="12.5" customWidth="1"/>
  </cols>
  <sheetData>
    <row r="1" spans="2:20" s="3" customFormat="1" ht="14.25" customHeight="1">
      <c r="B1" s="709"/>
      <c r="C1" s="709"/>
      <c r="D1" s="709"/>
      <c r="E1" s="709"/>
      <c r="F1" s="709"/>
      <c r="G1" s="709"/>
      <c r="H1" s="709"/>
      <c r="I1" s="709"/>
      <c r="J1" s="709"/>
      <c r="K1" s="709"/>
      <c r="L1" s="709"/>
      <c r="O1" s="706" t="s">
        <v>319</v>
      </c>
      <c r="P1" s="706"/>
      <c r="Q1" s="706"/>
      <c r="R1" s="706"/>
      <c r="S1" s="706"/>
      <c r="T1" s="114"/>
    </row>
    <row r="2" spans="2:20" s="71" customFormat="1" ht="20.25" customHeight="1">
      <c r="B2" s="710" t="s">
        <v>132</v>
      </c>
      <c r="C2" s="710"/>
      <c r="D2" s="710"/>
      <c r="E2" s="710"/>
      <c r="F2" s="710"/>
      <c r="G2" s="710"/>
      <c r="H2" s="710"/>
      <c r="I2" s="710"/>
      <c r="J2" s="710"/>
      <c r="K2" s="710"/>
      <c r="L2" s="710"/>
      <c r="M2" s="710"/>
      <c r="O2" s="113"/>
      <c r="P2" s="113"/>
      <c r="Q2" s="113"/>
      <c r="R2" s="115"/>
      <c r="S2" s="113"/>
      <c r="T2" s="114"/>
    </row>
    <row r="3" spans="2:20" s="3" customFormat="1" ht="21" customHeight="1">
      <c r="B3" s="711"/>
      <c r="C3" s="711"/>
      <c r="D3" s="711"/>
      <c r="E3" s="711"/>
      <c r="F3" s="711"/>
      <c r="G3" s="711"/>
      <c r="H3" s="711"/>
      <c r="I3" s="711"/>
      <c r="J3" s="711"/>
      <c r="K3" s="711"/>
      <c r="L3" s="712" t="s">
        <v>460</v>
      </c>
      <c r="M3" s="713"/>
      <c r="O3" s="116"/>
      <c r="P3" s="116"/>
      <c r="Q3" s="116"/>
      <c r="R3" s="116"/>
      <c r="S3" s="114" t="s">
        <v>172</v>
      </c>
    </row>
    <row r="4" spans="2:20" s="3" customFormat="1" ht="20.25" customHeight="1">
      <c r="B4" s="74" t="str">
        <f>参照ﾃﾞｰﾀ!AI4</f>
        <v>＃512</v>
      </c>
      <c r="C4" s="75" t="s">
        <v>151</v>
      </c>
      <c r="D4" s="74" t="str">
        <f>参照ﾃﾞｰﾀ!AI5</f>
        <v>＃513</v>
      </c>
      <c r="E4" s="75" t="s">
        <v>76</v>
      </c>
      <c r="F4" s="74" t="str">
        <f>参照ﾃﾞｰﾀ!AI6</f>
        <v>＃514</v>
      </c>
      <c r="G4" s="75" t="s">
        <v>76</v>
      </c>
      <c r="H4" s="74" t="str">
        <f>参照ﾃﾞｰﾀ!AI7</f>
        <v>＃515</v>
      </c>
      <c r="I4" s="75" t="s">
        <v>76</v>
      </c>
      <c r="J4" s="74" t="str">
        <f>参照ﾃﾞｰﾀ!AI8</f>
        <v>＃516</v>
      </c>
      <c r="K4" s="75" t="s">
        <v>48</v>
      </c>
      <c r="L4" s="74" t="str">
        <f>参照ﾃﾞｰﾀ!AI9</f>
        <v>＃517</v>
      </c>
      <c r="M4" s="76" t="s">
        <v>206</v>
      </c>
      <c r="O4" s="117"/>
      <c r="P4" s="117"/>
      <c r="Q4" s="117"/>
      <c r="R4" s="117"/>
      <c r="S4" s="117"/>
      <c r="T4" s="118"/>
    </row>
    <row r="5" spans="2:20" s="72" customFormat="1" ht="46.5" customHeight="1">
      <c r="B5" s="704">
        <f>参照ﾃﾞｰﾀ!$T4</f>
        <v>43121</v>
      </c>
      <c r="C5" s="705"/>
      <c r="D5" s="704">
        <f>参照ﾃﾞｰﾀ!$T5</f>
        <v>43149</v>
      </c>
      <c r="E5" s="705"/>
      <c r="F5" s="704">
        <f>参照ﾃﾞｰﾀ!$T6</f>
        <v>43177</v>
      </c>
      <c r="G5" s="705"/>
      <c r="H5" s="704">
        <f>参照ﾃﾞｰﾀ!$T7</f>
        <v>43205</v>
      </c>
      <c r="I5" s="705"/>
      <c r="J5" s="704">
        <f>参照ﾃﾞｰﾀ!$T8</f>
        <v>43240</v>
      </c>
      <c r="K5" s="705"/>
      <c r="L5" s="704" t="str">
        <f>参照ﾃﾞｰﾀ!AI9</f>
        <v>＃517</v>
      </c>
      <c r="M5" s="705"/>
      <c r="O5" s="707" t="s">
        <v>173</v>
      </c>
      <c r="P5" s="708"/>
      <c r="Q5" s="119" t="s">
        <v>53</v>
      </c>
      <c r="R5" s="119" t="s">
        <v>174</v>
      </c>
      <c r="S5" s="119" t="s">
        <v>175</v>
      </c>
      <c r="T5" s="118"/>
    </row>
    <row r="6" spans="2:20" s="3" customFormat="1" ht="21" customHeight="1">
      <c r="B6" s="77" t="s">
        <v>133</v>
      </c>
      <c r="C6" s="78" t="s">
        <v>92</v>
      </c>
      <c r="D6" s="77" t="s">
        <v>133</v>
      </c>
      <c r="E6" s="78" t="s">
        <v>92</v>
      </c>
      <c r="F6" s="77" t="s">
        <v>133</v>
      </c>
      <c r="G6" s="78" t="s">
        <v>92</v>
      </c>
      <c r="H6" s="77" t="s">
        <v>133</v>
      </c>
      <c r="I6" s="78" t="s">
        <v>92</v>
      </c>
      <c r="J6" s="77" t="s">
        <v>133</v>
      </c>
      <c r="K6" s="78" t="s">
        <v>92</v>
      </c>
      <c r="L6" s="77" t="s">
        <v>133</v>
      </c>
      <c r="M6" s="78" t="s">
        <v>92</v>
      </c>
      <c r="O6" s="120" t="s">
        <v>176</v>
      </c>
      <c r="P6" s="192">
        <f>参照ﾃﾞｰﾀ!AJ4</f>
        <v>43121</v>
      </c>
      <c r="Q6" s="192" t="str">
        <f>参照ﾃﾞｰﾀ!AK4</f>
        <v>K</v>
      </c>
      <c r="R6" s="192" t="str">
        <f>参照ﾃﾞｰﾀ!AL4</f>
        <v>かまくら</v>
      </c>
      <c r="S6" s="192" t="str">
        <f>参照ﾃﾞｰﾀ!AM4</f>
        <v>アルファ</v>
      </c>
      <c r="T6" s="115"/>
    </row>
    <row r="7" spans="2:20" s="3" customFormat="1" ht="18" customHeight="1">
      <c r="B7" s="79" t="s">
        <v>311</v>
      </c>
      <c r="C7" s="80" t="s">
        <v>314</v>
      </c>
      <c r="D7" s="79" t="s">
        <v>323</v>
      </c>
      <c r="E7" s="80" t="s">
        <v>324</v>
      </c>
      <c r="F7" s="79" t="s">
        <v>333</v>
      </c>
      <c r="G7" s="81" t="s">
        <v>334</v>
      </c>
      <c r="H7" s="82" t="s">
        <v>341</v>
      </c>
      <c r="I7" s="80" t="s">
        <v>343</v>
      </c>
      <c r="J7" s="82" t="s">
        <v>347</v>
      </c>
      <c r="K7" s="80" t="s">
        <v>352</v>
      </c>
      <c r="L7" s="79" t="s">
        <v>355</v>
      </c>
      <c r="M7" s="80" t="s">
        <v>360</v>
      </c>
      <c r="O7" s="120" t="s">
        <v>177</v>
      </c>
      <c r="P7" s="192">
        <f>参照ﾃﾞｰﾀ!AJ5</f>
        <v>43149</v>
      </c>
      <c r="Q7" s="192" t="str">
        <f>参照ﾃﾞｰﾀ!AK5</f>
        <v>E</v>
      </c>
      <c r="R7" s="192" t="str">
        <f>参照ﾃﾞｰﾀ!AL5</f>
        <v>くろしお</v>
      </c>
      <c r="S7" s="121"/>
      <c r="T7" s="115"/>
    </row>
    <row r="8" spans="2:20" s="3" customFormat="1" ht="18" customHeight="1">
      <c r="B8" s="83" t="s">
        <v>312</v>
      </c>
      <c r="C8" s="84" t="s">
        <v>314</v>
      </c>
      <c r="D8" s="83" t="s">
        <v>325</v>
      </c>
      <c r="E8" s="80" t="s">
        <v>324</v>
      </c>
      <c r="F8" s="83" t="s">
        <v>332</v>
      </c>
      <c r="G8" s="84" t="s">
        <v>334</v>
      </c>
      <c r="H8" s="85" t="s">
        <v>342</v>
      </c>
      <c r="I8" s="80" t="s">
        <v>343</v>
      </c>
      <c r="J8" s="85" t="s">
        <v>348</v>
      </c>
      <c r="K8" s="84" t="s">
        <v>353</v>
      </c>
      <c r="L8" s="83" t="s">
        <v>356</v>
      </c>
      <c r="M8" s="84" t="s">
        <v>360</v>
      </c>
      <c r="O8" s="120" t="s">
        <v>178</v>
      </c>
      <c r="P8" s="192">
        <f>参照ﾃﾞｰﾀ!AJ6</f>
        <v>43177</v>
      </c>
      <c r="Q8" s="192" t="str">
        <f>参照ﾃﾞｰﾀ!AK6</f>
        <v>H</v>
      </c>
      <c r="R8" s="192" t="str">
        <f>参照ﾃﾞｰﾀ!AL6</f>
        <v>衣笠</v>
      </c>
      <c r="S8" s="121"/>
      <c r="T8" s="115"/>
    </row>
    <row r="9" spans="2:20" s="3" customFormat="1" ht="18" customHeight="1">
      <c r="B9" s="86" t="s">
        <v>313</v>
      </c>
      <c r="C9" s="84" t="s">
        <v>315</v>
      </c>
      <c r="D9" s="86" t="s">
        <v>326</v>
      </c>
      <c r="E9" s="80" t="s">
        <v>324</v>
      </c>
      <c r="F9" s="83" t="s">
        <v>335</v>
      </c>
      <c r="G9" s="84" t="s">
        <v>334</v>
      </c>
      <c r="H9" s="86"/>
      <c r="I9" s="84"/>
      <c r="J9" s="87" t="s">
        <v>349</v>
      </c>
      <c r="K9" s="84" t="s">
        <v>353</v>
      </c>
      <c r="L9" s="86" t="s">
        <v>357</v>
      </c>
      <c r="M9" s="84" t="s">
        <v>360</v>
      </c>
      <c r="O9" s="120" t="s">
        <v>179</v>
      </c>
      <c r="P9" s="192">
        <f>参照ﾃﾞｰﾀ!AJ7</f>
        <v>43205</v>
      </c>
      <c r="Q9" s="192" t="str">
        <f>参照ﾃﾞｰﾀ!AK7</f>
        <v>E</v>
      </c>
      <c r="R9" s="192" t="str">
        <f>参照ﾃﾞｰﾀ!AL7</f>
        <v>ネプチューンXⅡ</v>
      </c>
      <c r="S9" s="121"/>
      <c r="T9" s="115"/>
    </row>
    <row r="10" spans="2:20" s="3" customFormat="1" ht="18" customHeight="1">
      <c r="B10" s="86" t="s">
        <v>316</v>
      </c>
      <c r="C10" s="84" t="s">
        <v>315</v>
      </c>
      <c r="D10" s="86" t="s">
        <v>327</v>
      </c>
      <c r="E10" s="80" t="s">
        <v>314</v>
      </c>
      <c r="F10" s="83" t="s">
        <v>336</v>
      </c>
      <c r="G10" s="84" t="s">
        <v>334</v>
      </c>
      <c r="H10" s="87"/>
      <c r="I10" s="84"/>
      <c r="J10" s="87" t="s">
        <v>350</v>
      </c>
      <c r="K10" s="84" t="s">
        <v>353</v>
      </c>
      <c r="L10" s="86" t="s">
        <v>358</v>
      </c>
      <c r="M10" s="84" t="s">
        <v>361</v>
      </c>
      <c r="O10" s="120" t="s">
        <v>180</v>
      </c>
      <c r="P10" s="192">
        <f>参照ﾃﾞｰﾀ!AJ8</f>
        <v>43240</v>
      </c>
      <c r="Q10" s="192" t="str">
        <f>参照ﾃﾞｰﾀ!AK8</f>
        <v>初島</v>
      </c>
      <c r="R10" s="192" t="str">
        <f>参照ﾃﾞｰﾀ!AL8</f>
        <v>フェニックス</v>
      </c>
      <c r="S10" s="121"/>
      <c r="T10" s="115"/>
    </row>
    <row r="11" spans="2:20" s="3" customFormat="1" ht="18" customHeight="1">
      <c r="B11" s="86" t="s">
        <v>317</v>
      </c>
      <c r="C11" s="84" t="s">
        <v>318</v>
      </c>
      <c r="D11" s="86"/>
      <c r="E11" s="80"/>
      <c r="F11" s="83" t="s">
        <v>337</v>
      </c>
      <c r="G11" s="84" t="s">
        <v>334</v>
      </c>
      <c r="H11" s="87"/>
      <c r="I11" s="84"/>
      <c r="J11" s="87" t="s">
        <v>351</v>
      </c>
      <c r="K11" s="84" t="s">
        <v>353</v>
      </c>
      <c r="L11" s="86" t="s">
        <v>359</v>
      </c>
      <c r="M11" s="80" t="s">
        <v>362</v>
      </c>
      <c r="O11" s="120" t="s">
        <v>181</v>
      </c>
      <c r="P11" s="192">
        <f>参照ﾃﾞｰﾀ!AJ9</f>
        <v>43268</v>
      </c>
      <c r="Q11" s="192" t="str">
        <f>参照ﾃﾞｰﾀ!AK9</f>
        <v>EまたはD</v>
      </c>
      <c r="R11" s="192" t="str">
        <f>参照ﾃﾞｰﾀ!AL9</f>
        <v>飛車角</v>
      </c>
      <c r="S11" s="121"/>
      <c r="T11" s="115"/>
    </row>
    <row r="12" spans="2:20" s="3" customFormat="1" ht="18" customHeight="1">
      <c r="B12" s="86"/>
      <c r="C12" s="84"/>
      <c r="D12" s="86"/>
      <c r="E12" s="80"/>
      <c r="F12" s="83" t="s">
        <v>327</v>
      </c>
      <c r="G12" s="80" t="s">
        <v>314</v>
      </c>
      <c r="H12" s="87"/>
      <c r="I12" s="84"/>
      <c r="J12" s="86"/>
      <c r="K12" s="84"/>
      <c r="L12" s="86"/>
      <c r="M12" s="84"/>
      <c r="O12" s="120" t="s">
        <v>182</v>
      </c>
      <c r="P12" s="192">
        <f>参照ﾃﾞｰﾀ!AJ10</f>
        <v>43296</v>
      </c>
      <c r="Q12" s="192" t="str">
        <f>参照ﾃﾞｰﾀ!AK10</f>
        <v>Eまはた合同</v>
      </c>
      <c r="R12" s="192" t="str">
        <f>参照ﾃﾞｰﾀ!AL10</f>
        <v>テティス</v>
      </c>
      <c r="S12" s="121"/>
      <c r="T12" s="115"/>
    </row>
    <row r="13" spans="2:20" s="3" customFormat="1" ht="18" customHeight="1">
      <c r="B13" s="86"/>
      <c r="C13" s="84"/>
      <c r="D13" s="86"/>
      <c r="E13" s="84"/>
      <c r="F13" s="86"/>
      <c r="G13" s="84"/>
      <c r="H13" s="87"/>
      <c r="I13" s="84"/>
      <c r="J13" s="87"/>
      <c r="K13" s="84"/>
      <c r="L13" s="86"/>
      <c r="M13" s="84"/>
      <c r="O13" s="120" t="s">
        <v>183</v>
      </c>
      <c r="P13" s="192">
        <f>参照ﾃﾞｰﾀ!AJ11</f>
        <v>43331</v>
      </c>
      <c r="Q13" s="192" t="str">
        <f>参照ﾃﾞｰﾀ!AK11</f>
        <v>JまたはH</v>
      </c>
      <c r="R13" s="192" t="str">
        <f>参照ﾃﾞｰﾀ!AL11</f>
        <v>はやとり</v>
      </c>
      <c r="S13" s="121"/>
      <c r="T13" s="115"/>
    </row>
    <row r="14" spans="2:20" s="3" customFormat="1" ht="18" customHeight="1">
      <c r="B14" s="86"/>
      <c r="C14" s="84"/>
      <c r="D14" s="86"/>
      <c r="E14" s="84"/>
      <c r="F14" s="86"/>
      <c r="G14" s="84"/>
      <c r="H14" s="87"/>
      <c r="I14" s="84"/>
      <c r="J14" s="87"/>
      <c r="K14" s="84"/>
      <c r="L14" s="86"/>
      <c r="M14" s="84"/>
      <c r="O14" s="120" t="s">
        <v>184</v>
      </c>
      <c r="P14" s="192">
        <f>参照ﾃﾞｰﾀ!AJ12</f>
        <v>43717</v>
      </c>
      <c r="Q14" s="192" t="str">
        <f>参照ﾃﾞｰﾀ!AK12</f>
        <v>熱海</v>
      </c>
      <c r="R14" s="192" t="str">
        <f>参照ﾃﾞｰﾀ!AL12</f>
        <v>別途</v>
      </c>
      <c r="S14" s="121"/>
      <c r="T14" s="115"/>
    </row>
    <row r="15" spans="2:20" s="3" customFormat="1" ht="18" customHeight="1">
      <c r="B15" s="86"/>
      <c r="C15" s="84"/>
      <c r="D15" s="86"/>
      <c r="E15" s="84"/>
      <c r="F15" s="86"/>
      <c r="G15" s="84"/>
      <c r="H15" s="88"/>
      <c r="I15" s="84"/>
      <c r="J15" s="88"/>
      <c r="K15" s="84"/>
      <c r="L15" s="86"/>
      <c r="M15" s="84"/>
      <c r="O15" s="120" t="s">
        <v>184</v>
      </c>
      <c r="P15" s="192">
        <f>参照ﾃﾞｰﾀ!AJ13</f>
        <v>43359</v>
      </c>
      <c r="Q15" s="192" t="str">
        <f>参照ﾃﾞｰﾀ!AK13</f>
        <v>FまたはA</v>
      </c>
      <c r="R15" s="192" t="str">
        <f>参照ﾃﾞｰﾀ!AL13</f>
        <v>波勝</v>
      </c>
      <c r="S15" s="192" t="str">
        <f>参照ﾃﾞｰﾀ!AM13</f>
        <v>サーモン4</v>
      </c>
      <c r="T15" s="115"/>
    </row>
    <row r="16" spans="2:20" s="3" customFormat="1" ht="18" customHeight="1">
      <c r="B16" s="89"/>
      <c r="C16" s="90"/>
      <c r="D16" s="89"/>
      <c r="E16" s="90"/>
      <c r="F16" s="86"/>
      <c r="G16" s="84"/>
      <c r="H16" s="91"/>
      <c r="I16" s="90"/>
      <c r="J16" s="91"/>
      <c r="K16" s="90"/>
      <c r="L16" s="89"/>
      <c r="M16" s="90"/>
      <c r="O16" s="120" t="s">
        <v>185</v>
      </c>
      <c r="P16" s="192">
        <f>参照ﾃﾞｰﾀ!AJ14</f>
        <v>43394</v>
      </c>
      <c r="Q16" s="192" t="str">
        <f>参照ﾃﾞｰﾀ!AK14</f>
        <v>E</v>
      </c>
      <c r="R16" s="192" t="str">
        <f>参照ﾃﾞｰﾀ!AL14</f>
        <v>ふるたか</v>
      </c>
      <c r="S16" s="121"/>
      <c r="T16" s="115"/>
    </row>
    <row r="17" spans="2:20" s="3" customFormat="1" ht="18" customHeight="1">
      <c r="B17" s="92"/>
      <c r="C17" s="93"/>
      <c r="D17" s="92"/>
      <c r="E17" s="93"/>
      <c r="F17" s="92"/>
      <c r="G17" s="93"/>
      <c r="H17" s="94"/>
      <c r="I17" s="93"/>
      <c r="J17" s="94"/>
      <c r="K17" s="93"/>
      <c r="L17" s="92"/>
      <c r="M17" s="93"/>
      <c r="O17" s="120" t="s">
        <v>186</v>
      </c>
      <c r="P17" s="192">
        <f>参照ﾃﾞｰﾀ!AJ15</f>
        <v>43422</v>
      </c>
      <c r="Q17" s="192" t="str">
        <f>参照ﾃﾞｰﾀ!AK15</f>
        <v>H</v>
      </c>
      <c r="R17" s="192" t="str">
        <f>参照ﾃﾞｰﾀ!AL15</f>
        <v>アイデアル</v>
      </c>
      <c r="S17" s="121"/>
      <c r="T17" s="115"/>
    </row>
    <row r="18" spans="2:20" s="3" customFormat="1" ht="15.75">
      <c r="B18" s="95"/>
      <c r="C18" s="73"/>
      <c r="D18" s="73"/>
      <c r="E18" s="73"/>
      <c r="F18" s="73"/>
      <c r="G18" s="73"/>
      <c r="H18" s="73"/>
      <c r="I18" s="73"/>
      <c r="J18" s="73"/>
      <c r="K18" s="73"/>
      <c r="L18" s="73"/>
      <c r="M18" s="73"/>
      <c r="O18" s="120" t="s">
        <v>187</v>
      </c>
      <c r="P18" s="192">
        <f>参照ﾃﾞｰﾀ!AJ16</f>
        <v>43450</v>
      </c>
      <c r="Q18" s="192" t="str">
        <f>参照ﾃﾞｰﾀ!AK16</f>
        <v>E</v>
      </c>
      <c r="R18" s="192" t="str">
        <f>参照ﾃﾞｰﾀ!AL16</f>
        <v>未央</v>
      </c>
      <c r="S18" s="121"/>
      <c r="T18" s="115"/>
    </row>
    <row r="19" spans="2:20" s="3" customFormat="1" ht="21" customHeight="1">
      <c r="B19" s="101" t="str">
        <f>参照ﾃﾞｰﾀ!AI10</f>
        <v>＃518</v>
      </c>
      <c r="C19" s="75" t="s">
        <v>150</v>
      </c>
      <c r="D19" s="101" t="str">
        <f>参照ﾃﾞｰﾀ!AI11</f>
        <v>＃519</v>
      </c>
      <c r="E19" s="75" t="s">
        <v>76</v>
      </c>
      <c r="F19" s="101" t="str">
        <f>参照ﾃﾞｰﾀ!AI13</f>
        <v>＃521</v>
      </c>
      <c r="G19" s="125" t="s">
        <v>270</v>
      </c>
      <c r="H19" s="101" t="str">
        <f>参照ﾃﾞｰﾀ!AI14</f>
        <v>＃522</v>
      </c>
      <c r="I19" s="75" t="s">
        <v>76</v>
      </c>
      <c r="J19" s="101" t="str">
        <f>参照ﾃﾞｰﾀ!AI15</f>
        <v>＃523</v>
      </c>
      <c r="K19" s="75" t="s">
        <v>267</v>
      </c>
      <c r="L19" s="101" t="str">
        <f>参照ﾃﾞｰﾀ!AI16</f>
        <v>＃524</v>
      </c>
      <c r="M19" s="76" t="s">
        <v>218</v>
      </c>
      <c r="O19" s="122"/>
      <c r="P19" s="122"/>
      <c r="Q19" s="115"/>
      <c r="R19" s="123"/>
      <c r="S19" s="115"/>
      <c r="T19" s="115"/>
    </row>
    <row r="20" spans="2:20" s="3" customFormat="1" ht="46.5" customHeight="1">
      <c r="B20" s="704">
        <f>参照ﾃﾞｰﾀ!$T10</f>
        <v>43296</v>
      </c>
      <c r="C20" s="705"/>
      <c r="D20" s="704">
        <f>参照ﾃﾞｰﾀ!$T11</f>
        <v>43331</v>
      </c>
      <c r="E20" s="705"/>
      <c r="F20" s="704">
        <f>参照ﾃﾞｰﾀ!$T13</f>
        <v>43359</v>
      </c>
      <c r="G20" s="705"/>
      <c r="H20" s="704">
        <f>参照ﾃﾞｰﾀ!$T14</f>
        <v>43394</v>
      </c>
      <c r="I20" s="705"/>
      <c r="J20" s="704">
        <f>参照ﾃﾞｰﾀ!$T15</f>
        <v>43422</v>
      </c>
      <c r="K20" s="705"/>
      <c r="L20" s="704">
        <f>参照ﾃﾞｰﾀ!$T16</f>
        <v>43450</v>
      </c>
      <c r="M20" s="705"/>
      <c r="O20" s="122"/>
      <c r="P20" s="122"/>
      <c r="Q20" s="115"/>
      <c r="R20" s="115"/>
      <c r="S20" s="115"/>
      <c r="T20" s="115"/>
    </row>
    <row r="21" spans="2:20" s="3" customFormat="1" ht="21" customHeight="1">
      <c r="B21" s="77" t="s">
        <v>133</v>
      </c>
      <c r="C21" s="78" t="s">
        <v>92</v>
      </c>
      <c r="D21" s="77" t="s">
        <v>133</v>
      </c>
      <c r="E21" s="78" t="s">
        <v>92</v>
      </c>
      <c r="F21" s="77" t="s">
        <v>133</v>
      </c>
      <c r="G21" s="78" t="s">
        <v>92</v>
      </c>
      <c r="H21" s="77" t="s">
        <v>133</v>
      </c>
      <c r="I21" s="78" t="s">
        <v>92</v>
      </c>
      <c r="J21" s="77" t="s">
        <v>133</v>
      </c>
      <c r="K21" s="78" t="s">
        <v>92</v>
      </c>
      <c r="L21" s="77" t="s">
        <v>133</v>
      </c>
      <c r="M21" s="78" t="s">
        <v>92</v>
      </c>
      <c r="O21" s="122"/>
      <c r="P21" s="124"/>
      <c r="Q21" s="115"/>
      <c r="R21" s="115"/>
      <c r="S21" s="115"/>
      <c r="T21" s="115"/>
    </row>
    <row r="22" spans="2:20" s="3" customFormat="1" ht="18" customHeight="1">
      <c r="B22" s="79" t="s">
        <v>373</v>
      </c>
      <c r="C22" s="80" t="s">
        <v>375</v>
      </c>
      <c r="D22" s="79" t="s">
        <v>386</v>
      </c>
      <c r="E22" s="80" t="s">
        <v>387</v>
      </c>
      <c r="F22" s="86" t="s">
        <v>401</v>
      </c>
      <c r="G22" s="84" t="s">
        <v>399</v>
      </c>
      <c r="H22" s="86" t="s">
        <v>419</v>
      </c>
      <c r="I22" s="84" t="s">
        <v>417</v>
      </c>
      <c r="J22" s="144" t="s">
        <v>429</v>
      </c>
      <c r="K22" s="84" t="s">
        <v>428</v>
      </c>
      <c r="L22" s="79" t="s">
        <v>454</v>
      </c>
      <c r="M22" s="80" t="s">
        <v>453</v>
      </c>
      <c r="O22" s="122"/>
      <c r="P22" s="118"/>
      <c r="Q22" s="115"/>
      <c r="R22" s="115"/>
      <c r="S22" s="115"/>
      <c r="T22" s="115"/>
    </row>
    <row r="23" spans="2:20" s="3" customFormat="1" ht="18" customHeight="1">
      <c r="B23" s="83" t="s">
        <v>374</v>
      </c>
      <c r="C23" s="80" t="s">
        <v>375</v>
      </c>
      <c r="D23" s="83" t="s">
        <v>388</v>
      </c>
      <c r="E23" s="84" t="s">
        <v>387</v>
      </c>
      <c r="F23" s="83" t="s">
        <v>402</v>
      </c>
      <c r="G23" s="84" t="s">
        <v>400</v>
      </c>
      <c r="H23" s="83" t="s">
        <v>420</v>
      </c>
      <c r="I23" s="84" t="s">
        <v>417</v>
      </c>
      <c r="J23" s="144" t="s">
        <v>430</v>
      </c>
      <c r="K23" s="84" t="s">
        <v>434</v>
      </c>
      <c r="L23" s="83" t="s">
        <v>455</v>
      </c>
      <c r="M23" s="80" t="s">
        <v>453</v>
      </c>
      <c r="O23" s="122"/>
      <c r="P23" s="118"/>
      <c r="Q23" s="115"/>
      <c r="R23" s="115"/>
      <c r="S23" s="115"/>
      <c r="T23" s="115"/>
    </row>
    <row r="24" spans="2:20" s="3" customFormat="1" ht="18" customHeight="1">
      <c r="B24" s="86"/>
      <c r="C24" s="84"/>
      <c r="D24" s="86" t="s">
        <v>389</v>
      </c>
      <c r="E24" s="84" t="s">
        <v>390</v>
      </c>
      <c r="F24" s="86" t="s">
        <v>403</v>
      </c>
      <c r="G24" s="84" t="s">
        <v>399</v>
      </c>
      <c r="H24" s="86" t="s">
        <v>421</v>
      </c>
      <c r="I24" s="84" t="s">
        <v>418</v>
      </c>
      <c r="J24" s="144" t="s">
        <v>431</v>
      </c>
      <c r="K24" s="84" t="s">
        <v>435</v>
      </c>
      <c r="L24" s="86" t="s">
        <v>456</v>
      </c>
      <c r="M24" s="80" t="s">
        <v>453</v>
      </c>
      <c r="O24" s="122"/>
      <c r="P24" s="118"/>
      <c r="Q24" s="115"/>
      <c r="R24" s="115"/>
      <c r="S24" s="115"/>
      <c r="T24" s="115"/>
    </row>
    <row r="25" spans="2:20" s="3" customFormat="1" ht="18" customHeight="1">
      <c r="B25" s="86"/>
      <c r="C25" s="84"/>
      <c r="D25" s="86"/>
      <c r="E25" s="80"/>
      <c r="F25" s="86" t="s">
        <v>404</v>
      </c>
      <c r="G25" s="84" t="s">
        <v>410</v>
      </c>
      <c r="H25" s="86"/>
      <c r="I25" s="84"/>
      <c r="J25" s="144" t="s">
        <v>432</v>
      </c>
      <c r="K25" s="84" t="s">
        <v>436</v>
      </c>
      <c r="L25" s="86" t="s">
        <v>457</v>
      </c>
      <c r="M25" s="80" t="s">
        <v>453</v>
      </c>
      <c r="O25" s="122"/>
      <c r="P25" s="118"/>
      <c r="Q25" s="115"/>
      <c r="R25" s="115"/>
      <c r="S25" s="115"/>
      <c r="T25" s="115"/>
    </row>
    <row r="26" spans="2:20" s="3" customFormat="1" ht="18" customHeight="1">
      <c r="B26" s="86"/>
      <c r="C26" s="84"/>
      <c r="D26" s="86"/>
      <c r="E26" s="84"/>
      <c r="F26" s="86" t="s">
        <v>405</v>
      </c>
      <c r="G26" s="84" t="s">
        <v>410</v>
      </c>
      <c r="H26" s="86"/>
      <c r="I26" s="84"/>
      <c r="J26" s="144" t="s">
        <v>433</v>
      </c>
      <c r="K26" s="84" t="s">
        <v>436</v>
      </c>
      <c r="L26" s="86" t="s">
        <v>458</v>
      </c>
      <c r="M26" s="80" t="s">
        <v>453</v>
      </c>
      <c r="O26" s="122"/>
      <c r="P26" s="118"/>
      <c r="Q26" s="115"/>
      <c r="R26" s="115"/>
      <c r="S26" s="115"/>
      <c r="T26" s="115"/>
    </row>
    <row r="27" spans="2:20" s="3" customFormat="1" ht="18" customHeight="1">
      <c r="B27" s="86"/>
      <c r="C27" s="84"/>
      <c r="D27" s="86"/>
      <c r="E27" s="84"/>
      <c r="F27" s="86" t="s">
        <v>406</v>
      </c>
      <c r="G27" s="84" t="s">
        <v>410</v>
      </c>
      <c r="H27" s="86"/>
      <c r="I27" s="84"/>
      <c r="J27" s="145"/>
      <c r="K27" s="84"/>
      <c r="L27" s="86" t="s">
        <v>459</v>
      </c>
      <c r="M27" s="80" t="s">
        <v>453</v>
      </c>
      <c r="O27" s="122"/>
      <c r="P27" s="118"/>
      <c r="Q27" s="115"/>
      <c r="R27" s="115"/>
      <c r="S27" s="115"/>
      <c r="T27" s="115"/>
    </row>
    <row r="28" spans="2:20" s="3" customFormat="1" ht="18" customHeight="1">
      <c r="B28" s="86"/>
      <c r="C28" s="84"/>
      <c r="D28" s="86"/>
      <c r="E28" s="84"/>
      <c r="F28" s="86" t="s">
        <v>407</v>
      </c>
      <c r="G28" s="84" t="s">
        <v>411</v>
      </c>
      <c r="H28" s="86"/>
      <c r="I28" s="84"/>
      <c r="J28" s="145"/>
      <c r="K28" s="84"/>
      <c r="L28" s="86"/>
      <c r="M28" s="84"/>
      <c r="O28" s="122"/>
      <c r="P28" s="118"/>
      <c r="Q28" s="115"/>
      <c r="R28" s="115"/>
      <c r="S28" s="115"/>
      <c r="T28" s="115"/>
    </row>
    <row r="29" spans="2:20" s="3" customFormat="1" ht="18" customHeight="1">
      <c r="B29" s="86"/>
      <c r="C29" s="84"/>
      <c r="D29" s="86"/>
      <c r="E29" s="84"/>
      <c r="F29" s="86" t="s">
        <v>408</v>
      </c>
      <c r="G29" s="84" t="s">
        <v>412</v>
      </c>
      <c r="H29" s="86"/>
      <c r="I29" s="84"/>
      <c r="J29" s="145"/>
      <c r="K29" s="84"/>
      <c r="L29" s="86"/>
      <c r="M29" s="84"/>
      <c r="O29" s="122"/>
      <c r="P29" s="118"/>
      <c r="Q29" s="115"/>
      <c r="R29" s="115"/>
      <c r="S29" s="115"/>
      <c r="T29" s="115"/>
    </row>
    <row r="30" spans="2:20" s="3" customFormat="1" ht="18" customHeight="1">
      <c r="B30" s="86"/>
      <c r="C30" s="84"/>
      <c r="D30" s="86"/>
      <c r="E30" s="84"/>
      <c r="F30" s="86" t="s">
        <v>409</v>
      </c>
      <c r="G30" s="84" t="s">
        <v>413</v>
      </c>
      <c r="H30" s="86"/>
      <c r="I30" s="84"/>
      <c r="J30" s="145"/>
      <c r="K30" s="84"/>
      <c r="L30" s="86"/>
      <c r="M30" s="84"/>
      <c r="O30" s="122"/>
      <c r="P30" s="118"/>
      <c r="Q30" s="115"/>
      <c r="R30" s="115"/>
      <c r="S30" s="115"/>
      <c r="T30" s="115"/>
    </row>
    <row r="31" spans="2:20" s="3" customFormat="1" ht="18" customHeight="1">
      <c r="B31" s="92"/>
      <c r="C31" s="93"/>
      <c r="D31" s="92"/>
      <c r="E31" s="93"/>
      <c r="F31" s="92"/>
      <c r="G31" s="93"/>
      <c r="H31" s="92"/>
      <c r="I31" s="93"/>
      <c r="J31" s="146"/>
      <c r="K31" s="93"/>
      <c r="L31" s="92"/>
      <c r="M31" s="93"/>
      <c r="O31" s="122"/>
      <c r="P31" s="122"/>
      <c r="Q31" s="115"/>
      <c r="R31" s="115"/>
      <c r="S31" s="115"/>
      <c r="T31" s="115"/>
    </row>
    <row r="32" spans="2:20" s="3" customFormat="1" ht="15.75">
      <c r="B32" s="95"/>
      <c r="C32" s="73"/>
      <c r="D32" s="73"/>
      <c r="E32" s="73"/>
      <c r="F32" s="73"/>
      <c r="G32" s="73"/>
      <c r="H32" s="73"/>
      <c r="I32" s="73"/>
      <c r="J32" s="73"/>
      <c r="K32" s="73"/>
      <c r="L32" s="73"/>
      <c r="M32" s="73"/>
      <c r="O32" s="118"/>
      <c r="P32" s="118"/>
      <c r="Q32" s="115"/>
      <c r="R32" s="115"/>
      <c r="S32" s="115"/>
      <c r="T32" s="115"/>
    </row>
    <row r="33" spans="2:20" s="3" customFormat="1" ht="18" customHeight="1">
      <c r="B33" s="96"/>
      <c r="C33" s="97"/>
      <c r="D33" s="73"/>
      <c r="E33" s="73"/>
      <c r="F33" s="73"/>
      <c r="G33" s="73"/>
      <c r="H33" s="73"/>
      <c r="I33" s="73"/>
      <c r="J33" s="73"/>
      <c r="K33" s="73"/>
      <c r="L33" s="714" t="s">
        <v>134</v>
      </c>
      <c r="M33" s="714"/>
      <c r="O33" s="118"/>
      <c r="P33" s="118"/>
      <c r="Q33" s="115"/>
      <c r="R33" s="115"/>
      <c r="S33" s="115"/>
      <c r="T33" s="115"/>
    </row>
    <row r="34" spans="2:20" s="3" customFormat="1" ht="15.75">
      <c r="B34" s="2"/>
      <c r="O34" s="118"/>
      <c r="P34" s="118"/>
      <c r="Q34" s="115"/>
      <c r="R34" s="115"/>
      <c r="S34" s="115"/>
      <c r="T34" s="115"/>
    </row>
  </sheetData>
  <sheetProtection algorithmName="SHA-512" hashValue="Sjf3SM+Fy0y5qgKMS/9Kgp+C2JZ69UzUteZ8fqRBgkUUw8wez25mqVsqLbVn004XefeKkiJz0Yb5b8mdsB8v0Q==" saltValue="Lx8FE7owdSz3pHxcAf2vrQ==" spinCount="100000" sheet="1" objects="1" scenarios="1"/>
  <mergeCells count="19">
    <mergeCell ref="L33:M33"/>
    <mergeCell ref="B20:C20"/>
    <mergeCell ref="D20:E20"/>
    <mergeCell ref="F20:G20"/>
    <mergeCell ref="H20:I20"/>
    <mergeCell ref="J20:K20"/>
    <mergeCell ref="L20:M20"/>
    <mergeCell ref="H5:I5"/>
    <mergeCell ref="J5:K5"/>
    <mergeCell ref="L5:M5"/>
    <mergeCell ref="O1:S1"/>
    <mergeCell ref="O5:P5"/>
    <mergeCell ref="B1:L1"/>
    <mergeCell ref="B2:M2"/>
    <mergeCell ref="B3:K3"/>
    <mergeCell ref="L3:M3"/>
    <mergeCell ref="B5:C5"/>
    <mergeCell ref="D5:E5"/>
    <mergeCell ref="F5:G5"/>
  </mergeCells>
  <phoneticPr fontId="3"/>
  <dataValidations count="1">
    <dataValidation type="list" allowBlank="1" showInputMessage="1" showErrorMessage="1" sqref="C4 E4 G4 I4 K4 M4 C19 E19 G19 I19 K19 M19">
      <formula1>コース</formula1>
    </dataValidation>
  </dataValidations>
  <pageMargins left="0.31496062992125984" right="0.31496062992125984" top="0.74803149606299213" bottom="0.74803149606299213" header="0.31496062992125984" footer="0.31496062992125984"/>
  <pageSetup paperSize="9" scale="99"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7月</vt:lpstr>
      <vt:lpstr>8月</vt:lpstr>
      <vt:lpstr>熱海ランデブーレース</vt:lpstr>
      <vt:lpstr>9月</vt:lpstr>
      <vt:lpstr>10月</vt:lpstr>
      <vt:lpstr>11月</vt:lpstr>
      <vt:lpstr>12月</vt:lpstr>
      <vt:lpstr>得点計</vt:lpstr>
      <vt:lpstr>ｺﾐｯﾃｨｰ</vt:lpstr>
      <vt:lpstr>参照ﾃﾞｰﾀ</vt:lpstr>
      <vt:lpstr>'10月'!Print_Area</vt:lpstr>
      <vt:lpstr>'11月'!Print_Area</vt:lpstr>
      <vt:lpstr>'12月'!Print_Area</vt:lpstr>
      <vt:lpstr>'7月'!Print_Area</vt:lpstr>
      <vt:lpstr>'8月'!Print_Area</vt:lpstr>
      <vt:lpstr>'9月'!Print_Area</vt:lpstr>
      <vt:lpstr>ｺﾐｯﾃｨｰ!Print_Area</vt:lpstr>
      <vt:lpstr>得点計!Print_Area</vt:lpstr>
      <vt:lpstr>熱海ランデブーレース!Print_Area</vt:lpstr>
      <vt:lpstr>ＴＡ</vt:lpstr>
      <vt:lpstr>コース</vt:lpstr>
      <vt:lpstr>コース・距離</vt:lpstr>
      <vt:lpstr>レース番号</vt:lpstr>
      <vt:lpstr>レース名</vt:lpstr>
      <vt:lpstr>開催日</vt:lpstr>
      <vt:lpstr>各艇データ</vt:lpstr>
      <vt:lpstr>月</vt:lpstr>
      <vt:lpstr>暫定</vt:lpstr>
      <vt:lpstr>時刻</vt:lpstr>
      <vt:lpstr>得点</vt:lpstr>
      <vt:lpstr>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nomura</cp:lastModifiedBy>
  <cp:lastPrinted>2018-12-16T06:13:56Z</cp:lastPrinted>
  <dcterms:created xsi:type="dcterms:W3CDTF">2015-05-21T03:15:11Z</dcterms:created>
  <dcterms:modified xsi:type="dcterms:W3CDTF">2019-01-02T09:41:12Z</dcterms:modified>
</cp:coreProperties>
</file>