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nomura_master\papa\ヨット\KYC\Race Committee\Race Results\2019\2019_12_Dec\"/>
    </mc:Choice>
  </mc:AlternateContent>
  <bookViews>
    <workbookView xWindow="-120" yWindow="-120" windowWidth="20730" windowHeight="11160" tabRatio="632" firstSheet="1" activeTab="6"/>
  </bookViews>
  <sheets>
    <sheet name="7月" sheetId="27" r:id="rId1"/>
    <sheet name="8月" sheetId="30" r:id="rId2"/>
    <sheet name="9月 (KFRランデブー)" sheetId="34" r:id="rId3"/>
    <sheet name="9月" sheetId="32" r:id="rId4"/>
    <sheet name="10月" sheetId="33" r:id="rId5"/>
    <sheet name="11月" sheetId="35" r:id="rId6"/>
    <sheet name="12月" sheetId="36" r:id="rId7"/>
    <sheet name="得点計" sheetId="19" r:id="rId8"/>
    <sheet name="ｺﾐｯﾃｨｰ" sheetId="20" r:id="rId9"/>
    <sheet name="参照ﾃﾞｰﾀ" sheetId="2" r:id="rId10"/>
  </sheets>
  <definedNames>
    <definedName name="_xlnm._FilterDatabase" localSheetId="4" hidden="1">'10月'!$C$7:$K$17</definedName>
    <definedName name="_xlnm._FilterDatabase" localSheetId="5" hidden="1">'11月'!$C$7:$K$20</definedName>
    <definedName name="_xlnm._FilterDatabase" localSheetId="6" hidden="1">'12月'!$C$7:$K$20</definedName>
    <definedName name="_xlnm._FilterDatabase" localSheetId="0" hidden="1">'7月'!$C$7:$K$20</definedName>
    <definedName name="_xlnm._FilterDatabase" localSheetId="1" hidden="1">'8月'!$C$7:$K$20</definedName>
    <definedName name="_xlnm._FilterDatabase" localSheetId="3" hidden="1">'9月'!$C$7:$K$20</definedName>
    <definedName name="_xlnm._FilterDatabase" localSheetId="2" hidden="1">'9月 (KFRランデブー)'!$C$7:$K$20</definedName>
    <definedName name="_xlnm._FilterDatabase" localSheetId="7"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4">'10月'!$B$2:$Q$41</definedName>
    <definedName name="_xlnm.Print_Area" localSheetId="5">'11月'!$B$2:$Q$41</definedName>
    <definedName name="_xlnm.Print_Area" localSheetId="6">'12月'!$B$2:$Q$41</definedName>
    <definedName name="_xlnm.Print_Area" localSheetId="0">'7月'!$B$2:$Q$41</definedName>
    <definedName name="_xlnm.Print_Area" localSheetId="1">'8月'!$B$2:$Q$41</definedName>
    <definedName name="_xlnm.Print_Area" localSheetId="3">'9月'!$B$2:$Q$41</definedName>
    <definedName name="_xlnm.Print_Area" localSheetId="2">'9月 (KFRランデブー)'!$B$2:$Q$41</definedName>
    <definedName name="_xlnm.Print_Area" localSheetId="8">ｺﾐｯﾃｨｰ!$B$2:$M$33</definedName>
    <definedName name="_xlnm.Print_Area" localSheetId="7">得点計!$B$1:$N$48</definedName>
    <definedName name="ＴＡ">参照ﾃﾞｰﾀ!$AC$3:$AC$7</definedName>
    <definedName name="コース">参照ﾃﾞｰﾀ!$L$3:$L$15</definedName>
    <definedName name="コース・距離">参照ﾃﾞｰﾀ!$L$3:$N$15</definedName>
    <definedName name="フリートレース_各艇データ__2__List" localSheetId="4">#REF!</definedName>
    <definedName name="フリートレース_各艇データ__2__List" localSheetId="5">#REF!</definedName>
    <definedName name="フリートレース_各艇データ__2__List" localSheetId="6">#REF!</definedName>
    <definedName name="フリートレース_各艇データ__2__List" localSheetId="1">#REF!</definedName>
    <definedName name="フリートレース_各艇データ__2__List" localSheetId="3">#REF!</definedName>
    <definedName name="フリートレース_各艇データ__2__List" localSheetId="2">#REF!</definedName>
    <definedName name="フリートレース_各艇データ__2__List">#REF!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6">#REF!</definedName>
    <definedName name="フリートレース_月別フォーマット_List" localSheetId="1">#REF!</definedName>
    <definedName name="フリートレース_月別フォーマット_List" localSheetId="3">#REF!</definedName>
    <definedName name="フリートレース_月別フォーマット_List" localSheetId="2">#REF!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19" l="1"/>
  <c r="K26" i="19"/>
  <c r="K28" i="19"/>
  <c r="D21" i="36"/>
  <c r="H21" i="36"/>
  <c r="D23" i="36"/>
  <c r="H23" i="36"/>
  <c r="K27" i="19" l="1"/>
  <c r="K21" i="19"/>
  <c r="O6" i="35" l="1"/>
  <c r="D19" i="33" l="1"/>
  <c r="K24" i="19" l="1"/>
  <c r="K20" i="19" l="1"/>
  <c r="D20" i="19"/>
  <c r="K16" i="19" l="1"/>
  <c r="K17" i="19"/>
  <c r="K13" i="19"/>
  <c r="D22" i="30"/>
  <c r="O6" i="36" l="1"/>
  <c r="O6" i="33"/>
  <c r="K9" i="19"/>
  <c r="K8" i="19"/>
  <c r="K7" i="19"/>
  <c r="K11" i="19"/>
  <c r="K14" i="19"/>
  <c r="K23" i="19"/>
  <c r="K12" i="19"/>
  <c r="K22" i="19"/>
  <c r="K18" i="19"/>
  <c r="K19" i="19"/>
  <c r="K15" i="19"/>
  <c r="K10" i="19"/>
  <c r="F35" i="36" l="1"/>
  <c r="F39" i="35"/>
  <c r="F35" i="35"/>
  <c r="AB31" i="36"/>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X26" i="36"/>
  <c r="W26" i="36"/>
  <c r="I26" i="36" s="1"/>
  <c r="V26" i="36"/>
  <c r="U26" i="36"/>
  <c r="T26" i="36"/>
  <c r="S26" i="36"/>
  <c r="H26" i="36"/>
  <c r="D26" i="36"/>
  <c r="AB25" i="36"/>
  <c r="AA25" i="36"/>
  <c r="Z25" i="36"/>
  <c r="X25" i="36"/>
  <c r="W25" i="36"/>
  <c r="V25" i="36"/>
  <c r="U25" i="36"/>
  <c r="T25" i="36"/>
  <c r="S25" i="36"/>
  <c r="D25" i="36"/>
  <c r="AB24" i="36"/>
  <c r="AA24" i="36"/>
  <c r="Z24" i="36"/>
  <c r="X24" i="36"/>
  <c r="W24" i="36"/>
  <c r="V24" i="36"/>
  <c r="U24" i="36"/>
  <c r="T24" i="36"/>
  <c r="S24" i="36"/>
  <c r="AB23" i="36"/>
  <c r="AA23" i="36"/>
  <c r="Z23" i="36"/>
  <c r="O22" i="36" s="1"/>
  <c r="X23" i="36"/>
  <c r="W23" i="36"/>
  <c r="V23" i="36"/>
  <c r="U23" i="36"/>
  <c r="T23" i="36"/>
  <c r="S23" i="36"/>
  <c r="AB22" i="36"/>
  <c r="AA22" i="36"/>
  <c r="Z22" i="36"/>
  <c r="O20" i="36" s="1"/>
  <c r="X22" i="36"/>
  <c r="W22" i="36"/>
  <c r="V22" i="36"/>
  <c r="U22" i="36"/>
  <c r="T22" i="36"/>
  <c r="S22" i="36"/>
  <c r="AB21" i="36"/>
  <c r="AA21" i="36"/>
  <c r="Z21" i="36"/>
  <c r="X21" i="36"/>
  <c r="W21" i="36"/>
  <c r="V21" i="36"/>
  <c r="U21" i="36"/>
  <c r="T21" i="36"/>
  <c r="S21" i="36"/>
  <c r="H17" i="36"/>
  <c r="D17" i="36"/>
  <c r="AB20" i="36"/>
  <c r="AA20" i="36"/>
  <c r="Z20" i="36"/>
  <c r="X20" i="36"/>
  <c r="W20" i="36"/>
  <c r="V20" i="36"/>
  <c r="U20" i="36"/>
  <c r="T20" i="36"/>
  <c r="S20" i="36"/>
  <c r="H18" i="36"/>
  <c r="D18" i="36"/>
  <c r="AB19" i="36"/>
  <c r="AA19" i="36"/>
  <c r="Z19" i="36"/>
  <c r="X19" i="36"/>
  <c r="W19" i="36"/>
  <c r="V19" i="36"/>
  <c r="U19" i="36"/>
  <c r="T19" i="36"/>
  <c r="S19" i="36"/>
  <c r="H20" i="36"/>
  <c r="N20" i="36" s="1"/>
  <c r="D20" i="36"/>
  <c r="AB18" i="36"/>
  <c r="AA18" i="36"/>
  <c r="Z18" i="36"/>
  <c r="X18" i="36"/>
  <c r="W18" i="36"/>
  <c r="I22" i="36" s="1"/>
  <c r="V18" i="36"/>
  <c r="U18" i="36"/>
  <c r="T18" i="36"/>
  <c r="E22" i="36" s="1"/>
  <c r="S18" i="36"/>
  <c r="H22" i="36"/>
  <c r="N22" i="36" s="1"/>
  <c r="D22" i="36"/>
  <c r="AB17" i="36"/>
  <c r="AA17" i="36"/>
  <c r="Z17" i="36"/>
  <c r="X17" i="36"/>
  <c r="W17" i="36"/>
  <c r="V17" i="36"/>
  <c r="U17" i="36"/>
  <c r="T17" i="36"/>
  <c r="S17" i="36"/>
  <c r="H16" i="36"/>
  <c r="D16" i="36"/>
  <c r="AB16" i="36"/>
  <c r="AA16" i="36"/>
  <c r="Z16" i="36"/>
  <c r="X16" i="36"/>
  <c r="W16" i="36"/>
  <c r="V16" i="36"/>
  <c r="U16" i="36"/>
  <c r="T16" i="36"/>
  <c r="S16" i="36"/>
  <c r="H19" i="36"/>
  <c r="D19" i="36"/>
  <c r="AB15" i="36"/>
  <c r="AA15" i="36"/>
  <c r="Z15" i="36"/>
  <c r="X15" i="36"/>
  <c r="W15" i="36"/>
  <c r="V15" i="36"/>
  <c r="U15" i="36"/>
  <c r="T15" i="36"/>
  <c r="S15" i="36"/>
  <c r="H14" i="36"/>
  <c r="D14" i="36"/>
  <c r="AB14" i="36"/>
  <c r="AA14" i="36"/>
  <c r="Z14" i="36"/>
  <c r="X14" i="36"/>
  <c r="W14" i="36"/>
  <c r="V14" i="36"/>
  <c r="U14" i="36"/>
  <c r="T14" i="36"/>
  <c r="S14" i="36"/>
  <c r="H13" i="36"/>
  <c r="D13" i="36"/>
  <c r="AB13" i="36"/>
  <c r="AA13" i="36"/>
  <c r="Z13" i="36"/>
  <c r="X13" i="36"/>
  <c r="W13" i="36"/>
  <c r="V13" i="36"/>
  <c r="U13" i="36"/>
  <c r="T13" i="36"/>
  <c r="S13" i="36"/>
  <c r="H11" i="36"/>
  <c r="D11" i="36"/>
  <c r="AB12" i="36"/>
  <c r="AA12" i="36"/>
  <c r="Z12" i="36"/>
  <c r="X12" i="36"/>
  <c r="W12" i="36"/>
  <c r="V12" i="36"/>
  <c r="U12" i="36"/>
  <c r="T12" i="36"/>
  <c r="S12" i="36"/>
  <c r="H15" i="36"/>
  <c r="D15" i="36"/>
  <c r="AB11" i="36"/>
  <c r="AA11" i="36"/>
  <c r="Z11" i="36"/>
  <c r="X11" i="36"/>
  <c r="W11" i="36"/>
  <c r="V11" i="36"/>
  <c r="U11" i="36"/>
  <c r="T11" i="36"/>
  <c r="S11" i="36"/>
  <c r="H12" i="36"/>
  <c r="D12"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O16" i="36"/>
  <c r="N31" i="36"/>
  <c r="D2" i="36"/>
  <c r="AC31" i="35"/>
  <c r="AB31" i="35"/>
  <c r="AA31" i="35"/>
  <c r="O31" i="35" s="1"/>
  <c r="Y31" i="35"/>
  <c r="X31" i="35"/>
  <c r="I31" i="35" s="1"/>
  <c r="W31" i="35"/>
  <c r="V31" i="35"/>
  <c r="U31" i="35"/>
  <c r="T31" i="35"/>
  <c r="H31" i="35"/>
  <c r="D31" i="35"/>
  <c r="AC30" i="35"/>
  <c r="AB30" i="35"/>
  <c r="AA30" i="35"/>
  <c r="Y30" i="35"/>
  <c r="X30" i="35"/>
  <c r="W30" i="35"/>
  <c r="V30" i="35"/>
  <c r="U30" i="35"/>
  <c r="T30" i="35"/>
  <c r="D30" i="35"/>
  <c r="AC29" i="35"/>
  <c r="AB29" i="35"/>
  <c r="AA29" i="35"/>
  <c r="Y29" i="35"/>
  <c r="X29" i="35"/>
  <c r="W29" i="35"/>
  <c r="V29" i="35"/>
  <c r="U29" i="35"/>
  <c r="T29" i="35"/>
  <c r="D29" i="35"/>
  <c r="AC28" i="35"/>
  <c r="AB28" i="35"/>
  <c r="AA28" i="35"/>
  <c r="Y28" i="35"/>
  <c r="X28" i="35"/>
  <c r="W28" i="35"/>
  <c r="V28" i="35"/>
  <c r="U28" i="35"/>
  <c r="T28" i="35"/>
  <c r="D28" i="35"/>
  <c r="AC27" i="35"/>
  <c r="AB27" i="35"/>
  <c r="AA27" i="35"/>
  <c r="Y27" i="35"/>
  <c r="X27" i="35"/>
  <c r="W27" i="35"/>
  <c r="V27" i="35"/>
  <c r="U27" i="35"/>
  <c r="T27" i="35"/>
  <c r="H27" i="35"/>
  <c r="D27" i="35"/>
  <c r="AC26" i="35"/>
  <c r="AB26" i="35"/>
  <c r="AA26" i="35"/>
  <c r="Y26" i="35"/>
  <c r="X26" i="35"/>
  <c r="I26" i="35" s="1"/>
  <c r="W26" i="35"/>
  <c r="V26" i="35"/>
  <c r="U26" i="35"/>
  <c r="T26" i="35"/>
  <c r="H26" i="35"/>
  <c r="D26" i="35"/>
  <c r="AC25" i="35"/>
  <c r="AB25" i="35"/>
  <c r="AA25" i="35"/>
  <c r="Y25" i="35"/>
  <c r="X25" i="35"/>
  <c r="W25" i="35"/>
  <c r="V25" i="35"/>
  <c r="U25" i="35"/>
  <c r="T25" i="35"/>
  <c r="D25" i="35"/>
  <c r="AC24" i="35"/>
  <c r="AB24" i="35"/>
  <c r="AA24" i="35"/>
  <c r="Y24" i="35"/>
  <c r="X24" i="35"/>
  <c r="W24" i="35"/>
  <c r="V24" i="35"/>
  <c r="U24" i="35"/>
  <c r="T24" i="35"/>
  <c r="AC23" i="35"/>
  <c r="AB23" i="35"/>
  <c r="AA23" i="35"/>
  <c r="Y23" i="35"/>
  <c r="X23" i="35"/>
  <c r="W23" i="35"/>
  <c r="V23" i="35"/>
  <c r="U23" i="35"/>
  <c r="T23" i="35"/>
  <c r="D23" i="35"/>
  <c r="AC22" i="35"/>
  <c r="AB22" i="35"/>
  <c r="AA22" i="35"/>
  <c r="Y22" i="35"/>
  <c r="X22" i="35"/>
  <c r="W22" i="35"/>
  <c r="V22" i="35"/>
  <c r="U22" i="35"/>
  <c r="T22" i="35"/>
  <c r="AC21" i="35"/>
  <c r="AB21" i="35"/>
  <c r="AA21" i="35"/>
  <c r="Y21" i="35"/>
  <c r="X21" i="35"/>
  <c r="W21" i="35"/>
  <c r="V21" i="35"/>
  <c r="U21" i="35"/>
  <c r="T21" i="35"/>
  <c r="D21" i="35"/>
  <c r="AC20" i="35"/>
  <c r="AB20" i="35"/>
  <c r="AA20" i="35"/>
  <c r="Y20" i="35"/>
  <c r="X20" i="35"/>
  <c r="I20" i="35" s="1"/>
  <c r="W20" i="35"/>
  <c r="V20" i="35"/>
  <c r="U20" i="35"/>
  <c r="E20" i="35" s="1"/>
  <c r="T20" i="35"/>
  <c r="H20" i="35"/>
  <c r="D20" i="35"/>
  <c r="AC19" i="35"/>
  <c r="AB19" i="35"/>
  <c r="AA19" i="35"/>
  <c r="Y19" i="35"/>
  <c r="X19" i="35"/>
  <c r="I19" i="35" s="1"/>
  <c r="W19" i="35"/>
  <c r="V19" i="35"/>
  <c r="U19" i="35"/>
  <c r="E19" i="35" s="1"/>
  <c r="T19" i="35"/>
  <c r="H19" i="35"/>
  <c r="D19" i="35"/>
  <c r="AC18" i="35"/>
  <c r="AB18" i="35"/>
  <c r="AA18" i="35"/>
  <c r="Y18" i="35"/>
  <c r="X18" i="35"/>
  <c r="I18" i="35" s="1"/>
  <c r="W18" i="35"/>
  <c r="V18" i="35"/>
  <c r="U18" i="35"/>
  <c r="E18" i="35" s="1"/>
  <c r="T18" i="35"/>
  <c r="H18" i="35"/>
  <c r="D18" i="35"/>
  <c r="AC17" i="35"/>
  <c r="AB17" i="35"/>
  <c r="AA17" i="35"/>
  <c r="Y17" i="35"/>
  <c r="X17" i="35"/>
  <c r="I17" i="35" s="1"/>
  <c r="W17" i="35"/>
  <c r="V17" i="35"/>
  <c r="U17" i="35"/>
  <c r="E17" i="35" s="1"/>
  <c r="T17" i="35"/>
  <c r="H17" i="35"/>
  <c r="D17" i="35"/>
  <c r="AC16" i="35"/>
  <c r="AB16" i="35"/>
  <c r="AA16" i="35"/>
  <c r="Y16" i="35"/>
  <c r="X16" i="35"/>
  <c r="I16" i="35" s="1"/>
  <c r="W16" i="35"/>
  <c r="V16" i="35"/>
  <c r="U16" i="35"/>
  <c r="E16" i="35" s="1"/>
  <c r="T16" i="35"/>
  <c r="H16" i="35"/>
  <c r="D16" i="35"/>
  <c r="AC15" i="35"/>
  <c r="AB15" i="35"/>
  <c r="AA15" i="35"/>
  <c r="Y15" i="35"/>
  <c r="X15" i="35"/>
  <c r="I15" i="35" s="1"/>
  <c r="W15" i="35"/>
  <c r="V15" i="35"/>
  <c r="U15" i="35"/>
  <c r="T15" i="35"/>
  <c r="H15" i="35"/>
  <c r="D15" i="35"/>
  <c r="AC14" i="35"/>
  <c r="AB14" i="35"/>
  <c r="AA14" i="35"/>
  <c r="O14" i="35" s="1"/>
  <c r="Y14" i="35"/>
  <c r="X14" i="35"/>
  <c r="W14" i="35"/>
  <c r="V14" i="35"/>
  <c r="U14" i="35"/>
  <c r="E14" i="35" s="1"/>
  <c r="T14" i="35"/>
  <c r="H14" i="35"/>
  <c r="D14" i="35"/>
  <c r="AC13" i="35"/>
  <c r="AB13" i="35"/>
  <c r="AA13" i="35"/>
  <c r="O13" i="35" s="1"/>
  <c r="Y13" i="35"/>
  <c r="X13" i="35"/>
  <c r="I13" i="35" s="1"/>
  <c r="W13" i="35"/>
  <c r="V13" i="35"/>
  <c r="U13" i="35"/>
  <c r="T13" i="35"/>
  <c r="H13" i="35"/>
  <c r="D13" i="35"/>
  <c r="AC12" i="35"/>
  <c r="AB12" i="35"/>
  <c r="AA12" i="35"/>
  <c r="Y12" i="35"/>
  <c r="X12" i="35"/>
  <c r="W12" i="35"/>
  <c r="V12" i="35"/>
  <c r="U12" i="35"/>
  <c r="T12" i="35"/>
  <c r="H11" i="35"/>
  <c r="D11" i="35"/>
  <c r="AC11" i="35"/>
  <c r="AB11" i="35"/>
  <c r="AA11" i="35"/>
  <c r="Y11" i="35"/>
  <c r="X11" i="35"/>
  <c r="W11" i="35"/>
  <c r="V11" i="35"/>
  <c r="U11" i="35"/>
  <c r="T11" i="35"/>
  <c r="H12" i="35"/>
  <c r="D12" i="35"/>
  <c r="AC10" i="35"/>
  <c r="AB10" i="35"/>
  <c r="AA10" i="35"/>
  <c r="Y10" i="35"/>
  <c r="X10" i="35"/>
  <c r="I10" i="35" s="1"/>
  <c r="W10" i="35"/>
  <c r="V10" i="35"/>
  <c r="U10" i="35"/>
  <c r="T10" i="35"/>
  <c r="H10" i="35"/>
  <c r="D10" i="35"/>
  <c r="AC9" i="35"/>
  <c r="AB9" i="35"/>
  <c r="AA9" i="35"/>
  <c r="Y9" i="35"/>
  <c r="X9" i="35"/>
  <c r="I9" i="35" s="1"/>
  <c r="W9" i="35"/>
  <c r="V9" i="35"/>
  <c r="U9" i="35"/>
  <c r="T9" i="35"/>
  <c r="H9" i="35"/>
  <c r="D9" i="35"/>
  <c r="AC8" i="35"/>
  <c r="AB8" i="35"/>
  <c r="AA8" i="35"/>
  <c r="Y8" i="35"/>
  <c r="X8" i="35"/>
  <c r="W8" i="35"/>
  <c r="V8" i="35"/>
  <c r="U8" i="35"/>
  <c r="T8" i="35"/>
  <c r="H7" i="35"/>
  <c r="D7" i="35"/>
  <c r="AC7" i="35"/>
  <c r="AB7" i="35"/>
  <c r="AA7" i="35"/>
  <c r="Y7" i="35"/>
  <c r="X7" i="35"/>
  <c r="W7" i="35"/>
  <c r="V7" i="35"/>
  <c r="U7" i="35"/>
  <c r="T7" i="35"/>
  <c r="H8" i="35"/>
  <c r="D8" i="35"/>
  <c r="N31" i="35"/>
  <c r="D2" i="35"/>
  <c r="F39" i="33"/>
  <c r="F35" i="33"/>
  <c r="F39" i="32"/>
  <c r="F35" i="34"/>
  <c r="O6" i="34"/>
  <c r="O31" i="34" s="1"/>
  <c r="AB31" i="34"/>
  <c r="AA31" i="34"/>
  <c r="Z31" i="34"/>
  <c r="X31" i="34"/>
  <c r="W31" i="34"/>
  <c r="V31" i="34"/>
  <c r="U31" i="34"/>
  <c r="T31" i="34"/>
  <c r="S31" i="34"/>
  <c r="I31" i="34"/>
  <c r="H31" i="34"/>
  <c r="D31" i="34"/>
  <c r="AB30" i="34"/>
  <c r="AA30" i="34"/>
  <c r="Z30" i="34"/>
  <c r="X30" i="34"/>
  <c r="W30" i="34"/>
  <c r="V30" i="34"/>
  <c r="U30" i="34"/>
  <c r="T30" i="34"/>
  <c r="S30" i="34"/>
  <c r="D30" i="34"/>
  <c r="AB29" i="34"/>
  <c r="AA29" i="34"/>
  <c r="Z29" i="34"/>
  <c r="X29" i="34"/>
  <c r="W29" i="34"/>
  <c r="V29" i="34"/>
  <c r="U29" i="34"/>
  <c r="T29" i="34"/>
  <c r="S29" i="34"/>
  <c r="D29" i="34"/>
  <c r="AB28" i="34"/>
  <c r="AA28" i="34"/>
  <c r="Z28" i="34"/>
  <c r="X28" i="34"/>
  <c r="W28" i="34"/>
  <c r="V28" i="34"/>
  <c r="U28" i="34"/>
  <c r="T28" i="34"/>
  <c r="S28" i="34"/>
  <c r="D28" i="34"/>
  <c r="AB27" i="34"/>
  <c r="AA27" i="34"/>
  <c r="Z27" i="34"/>
  <c r="X27" i="34"/>
  <c r="W27" i="34"/>
  <c r="V27" i="34"/>
  <c r="U27" i="34"/>
  <c r="T27" i="34"/>
  <c r="S27" i="34"/>
  <c r="H27" i="34"/>
  <c r="D27" i="34"/>
  <c r="AB26" i="34"/>
  <c r="AA26" i="34"/>
  <c r="Z26" i="34"/>
  <c r="X26" i="34"/>
  <c r="W26" i="34"/>
  <c r="V26" i="34"/>
  <c r="U26" i="34"/>
  <c r="T26" i="34"/>
  <c r="S26" i="34"/>
  <c r="H26" i="34"/>
  <c r="D26" i="34"/>
  <c r="AB25" i="34"/>
  <c r="AA25" i="34"/>
  <c r="Z25" i="34"/>
  <c r="X25" i="34"/>
  <c r="W25" i="34"/>
  <c r="V25" i="34"/>
  <c r="U25" i="34"/>
  <c r="T25" i="34"/>
  <c r="S25" i="34"/>
  <c r="D25" i="34"/>
  <c r="AB24" i="34"/>
  <c r="AA24" i="34"/>
  <c r="Z24" i="34"/>
  <c r="X24" i="34"/>
  <c r="W24" i="34"/>
  <c r="V24" i="34"/>
  <c r="U24" i="34"/>
  <c r="T24" i="34"/>
  <c r="S24" i="34"/>
  <c r="AB23" i="34"/>
  <c r="AA23" i="34"/>
  <c r="Z23" i="34"/>
  <c r="X23" i="34"/>
  <c r="W23" i="34"/>
  <c r="V23" i="34"/>
  <c r="U23" i="34"/>
  <c r="T23" i="34"/>
  <c r="S23" i="34"/>
  <c r="D23" i="34"/>
  <c r="AB22" i="34"/>
  <c r="AA22" i="34"/>
  <c r="Z22" i="34"/>
  <c r="X22" i="34"/>
  <c r="W22" i="34"/>
  <c r="V22" i="34"/>
  <c r="U22" i="34"/>
  <c r="T22" i="34"/>
  <c r="S22" i="34"/>
  <c r="AB21" i="34"/>
  <c r="AA21" i="34"/>
  <c r="Z21" i="34"/>
  <c r="X21" i="34"/>
  <c r="W21" i="34"/>
  <c r="V21" i="34"/>
  <c r="U21" i="34"/>
  <c r="T21" i="34"/>
  <c r="S21" i="34"/>
  <c r="AB20" i="34"/>
  <c r="AA20" i="34"/>
  <c r="Z20" i="34"/>
  <c r="X20" i="34"/>
  <c r="W20" i="34"/>
  <c r="V20" i="34"/>
  <c r="U20" i="34"/>
  <c r="T20" i="34"/>
  <c r="S20" i="34"/>
  <c r="AB19" i="34"/>
  <c r="AA19" i="34"/>
  <c r="Z19" i="34"/>
  <c r="X19" i="34"/>
  <c r="W19" i="34"/>
  <c r="V19" i="34"/>
  <c r="U19" i="34"/>
  <c r="T19" i="34"/>
  <c r="S19" i="34"/>
  <c r="AB18" i="34"/>
  <c r="AA18" i="34"/>
  <c r="Z18" i="34"/>
  <c r="X18" i="34"/>
  <c r="W18" i="34"/>
  <c r="V18" i="34"/>
  <c r="U18" i="34"/>
  <c r="T18" i="34"/>
  <c r="S18" i="34"/>
  <c r="AB17" i="34"/>
  <c r="AA17" i="34"/>
  <c r="Z17" i="34"/>
  <c r="X17" i="34"/>
  <c r="W17" i="34"/>
  <c r="V17" i="34"/>
  <c r="U17" i="34"/>
  <c r="T17" i="34"/>
  <c r="S17" i="34"/>
  <c r="AB16" i="34"/>
  <c r="AA16" i="34"/>
  <c r="Z16" i="34"/>
  <c r="X16" i="34"/>
  <c r="W16" i="34"/>
  <c r="V16" i="34"/>
  <c r="U16" i="34"/>
  <c r="T16" i="34"/>
  <c r="S16" i="34"/>
  <c r="H16" i="34"/>
  <c r="AB15" i="34"/>
  <c r="AA15" i="34"/>
  <c r="Z15" i="34"/>
  <c r="X15" i="34"/>
  <c r="W15" i="34"/>
  <c r="V15" i="34"/>
  <c r="U15" i="34"/>
  <c r="T15" i="34"/>
  <c r="S15" i="34"/>
  <c r="H15" i="34"/>
  <c r="AB14" i="34"/>
  <c r="AA14" i="34"/>
  <c r="Z14" i="34"/>
  <c r="X14" i="34"/>
  <c r="W14" i="34"/>
  <c r="V14" i="34"/>
  <c r="U14" i="34"/>
  <c r="T14" i="34"/>
  <c r="S14" i="34"/>
  <c r="D10" i="34"/>
  <c r="AB13" i="34"/>
  <c r="AA13" i="34"/>
  <c r="Z13" i="34"/>
  <c r="X13" i="34"/>
  <c r="W13" i="34"/>
  <c r="V13" i="34"/>
  <c r="U13" i="34"/>
  <c r="T13" i="34"/>
  <c r="S13" i="34"/>
  <c r="D13" i="34"/>
  <c r="AB12" i="34"/>
  <c r="AA12" i="34"/>
  <c r="Z12" i="34"/>
  <c r="X12" i="34"/>
  <c r="W12" i="34"/>
  <c r="V12" i="34"/>
  <c r="U12" i="34"/>
  <c r="T12" i="34"/>
  <c r="S12" i="34"/>
  <c r="D8" i="34"/>
  <c r="AB11" i="34"/>
  <c r="AA11" i="34"/>
  <c r="Z11" i="34"/>
  <c r="X11" i="34"/>
  <c r="W11" i="34"/>
  <c r="V11" i="34"/>
  <c r="U11" i="34"/>
  <c r="T11" i="34"/>
  <c r="S11" i="34"/>
  <c r="D12" i="34"/>
  <c r="AB10" i="34"/>
  <c r="AA10" i="34"/>
  <c r="Z10" i="34"/>
  <c r="X10" i="34"/>
  <c r="W10" i="34"/>
  <c r="V10" i="34"/>
  <c r="U10" i="34"/>
  <c r="T10" i="34"/>
  <c r="S10" i="34"/>
  <c r="D7" i="34"/>
  <c r="AB9" i="34"/>
  <c r="AA9" i="34"/>
  <c r="Z9" i="34"/>
  <c r="X9" i="34"/>
  <c r="W9" i="34"/>
  <c r="V9" i="34"/>
  <c r="U9" i="34"/>
  <c r="T9" i="34"/>
  <c r="S9" i="34"/>
  <c r="D9" i="34"/>
  <c r="AB8" i="34"/>
  <c r="AA8" i="34"/>
  <c r="Z8" i="34"/>
  <c r="X8" i="34"/>
  <c r="W8" i="34"/>
  <c r="V8" i="34"/>
  <c r="U8" i="34"/>
  <c r="T8" i="34"/>
  <c r="S8" i="34"/>
  <c r="D14" i="34"/>
  <c r="AB7" i="34"/>
  <c r="AA7" i="34"/>
  <c r="Z7" i="34"/>
  <c r="X7" i="34"/>
  <c r="W7" i="34"/>
  <c r="V7" i="34"/>
  <c r="U7" i="34"/>
  <c r="T7" i="34"/>
  <c r="S7" i="34"/>
  <c r="D11" i="34"/>
  <c r="N3" i="34"/>
  <c r="D2" i="34"/>
  <c r="AC31" i="33"/>
  <c r="AB31" i="33"/>
  <c r="AA31" i="33"/>
  <c r="O31" i="33" s="1"/>
  <c r="Y31" i="33"/>
  <c r="X31" i="33"/>
  <c r="I31" i="33" s="1"/>
  <c r="W31" i="33"/>
  <c r="V31" i="33"/>
  <c r="U31" i="33"/>
  <c r="T31" i="33"/>
  <c r="H31" i="33"/>
  <c r="D31" i="33"/>
  <c r="AC30" i="33"/>
  <c r="AB30" i="33"/>
  <c r="AA30" i="33"/>
  <c r="Y30" i="33"/>
  <c r="X30" i="33"/>
  <c r="W30" i="33"/>
  <c r="V30" i="33"/>
  <c r="U30" i="33"/>
  <c r="T30" i="33"/>
  <c r="D30" i="33"/>
  <c r="AC29" i="33"/>
  <c r="AB29" i="33"/>
  <c r="AA29" i="33"/>
  <c r="Y29" i="33"/>
  <c r="X29" i="33"/>
  <c r="W29" i="33"/>
  <c r="V29" i="33"/>
  <c r="U29" i="33"/>
  <c r="T29" i="33"/>
  <c r="D29" i="33"/>
  <c r="AC28" i="33"/>
  <c r="AB28" i="33"/>
  <c r="AA28" i="33"/>
  <c r="Y28" i="33"/>
  <c r="X28" i="33"/>
  <c r="W28" i="33"/>
  <c r="V28" i="33"/>
  <c r="U28" i="33"/>
  <c r="T28" i="33"/>
  <c r="D28" i="33"/>
  <c r="AC27" i="33"/>
  <c r="AB27" i="33"/>
  <c r="AA27" i="33"/>
  <c r="Y27" i="33"/>
  <c r="X27" i="33"/>
  <c r="W27" i="33"/>
  <c r="V27" i="33"/>
  <c r="U27" i="33"/>
  <c r="T27" i="33"/>
  <c r="H27" i="33"/>
  <c r="D27" i="33"/>
  <c r="AC26" i="33"/>
  <c r="AB26" i="33"/>
  <c r="AA26" i="33"/>
  <c r="Y26" i="33"/>
  <c r="X26" i="33"/>
  <c r="I26" i="33" s="1"/>
  <c r="W26" i="33"/>
  <c r="V26" i="33"/>
  <c r="U26" i="33"/>
  <c r="T26" i="33"/>
  <c r="H26" i="33"/>
  <c r="D26" i="33"/>
  <c r="AC25" i="33"/>
  <c r="AB25" i="33"/>
  <c r="AA25" i="33"/>
  <c r="Y25" i="33"/>
  <c r="X25" i="33"/>
  <c r="W25" i="33"/>
  <c r="V25" i="33"/>
  <c r="U25" i="33"/>
  <c r="T25" i="33"/>
  <c r="D25" i="33"/>
  <c r="AC24" i="33"/>
  <c r="AB24" i="33"/>
  <c r="AA24" i="33"/>
  <c r="Y24" i="33"/>
  <c r="X24" i="33"/>
  <c r="W24" i="33"/>
  <c r="V24" i="33"/>
  <c r="U24" i="33"/>
  <c r="T24" i="33"/>
  <c r="AC23" i="33"/>
  <c r="AB23" i="33"/>
  <c r="AA23" i="33"/>
  <c r="Y23" i="33"/>
  <c r="X23" i="33"/>
  <c r="W23" i="33"/>
  <c r="V23" i="33"/>
  <c r="U23" i="33"/>
  <c r="T23" i="33"/>
  <c r="D23" i="33"/>
  <c r="AC22" i="33"/>
  <c r="AB22" i="33"/>
  <c r="AA22" i="33"/>
  <c r="Y22" i="33"/>
  <c r="X22" i="33"/>
  <c r="W22" i="33"/>
  <c r="V22" i="33"/>
  <c r="U22" i="33"/>
  <c r="T22" i="33"/>
  <c r="AC21" i="33"/>
  <c r="AB21" i="33"/>
  <c r="AA21" i="33"/>
  <c r="Y21" i="33"/>
  <c r="X21" i="33"/>
  <c r="W21" i="33"/>
  <c r="V21" i="33"/>
  <c r="U21" i="33"/>
  <c r="T21" i="33"/>
  <c r="AC20" i="33"/>
  <c r="AB20" i="33"/>
  <c r="AA20" i="33"/>
  <c r="Y20" i="33"/>
  <c r="X20" i="33"/>
  <c r="W20" i="33"/>
  <c r="V20" i="33"/>
  <c r="U20" i="33"/>
  <c r="T20" i="33"/>
  <c r="AC19" i="33"/>
  <c r="AB19" i="33"/>
  <c r="AA19" i="33"/>
  <c r="Y19" i="33"/>
  <c r="X19" i="33"/>
  <c r="W19" i="33"/>
  <c r="V19" i="33"/>
  <c r="U19" i="33"/>
  <c r="T19" i="33"/>
  <c r="AC18" i="33"/>
  <c r="AB18" i="33"/>
  <c r="AA18" i="33"/>
  <c r="Y18" i="33"/>
  <c r="X18" i="33"/>
  <c r="W18" i="33"/>
  <c r="V18" i="33"/>
  <c r="U18" i="33"/>
  <c r="T18" i="33"/>
  <c r="AC17" i="33"/>
  <c r="AB17" i="33"/>
  <c r="AA17" i="33"/>
  <c r="Y17" i="33"/>
  <c r="X17" i="33"/>
  <c r="I17" i="33" s="1"/>
  <c r="W17" i="33"/>
  <c r="V17" i="33"/>
  <c r="U17" i="33"/>
  <c r="E17" i="33" s="1"/>
  <c r="T17" i="33"/>
  <c r="H17" i="33"/>
  <c r="D17" i="33"/>
  <c r="AC16" i="33"/>
  <c r="AB16" i="33"/>
  <c r="AA16" i="33"/>
  <c r="Y16" i="33"/>
  <c r="X16" i="33"/>
  <c r="I16" i="33" s="1"/>
  <c r="W16" i="33"/>
  <c r="V16" i="33"/>
  <c r="U16" i="33"/>
  <c r="E16" i="33" s="1"/>
  <c r="T16" i="33"/>
  <c r="H16" i="33"/>
  <c r="D16" i="33"/>
  <c r="AC15" i="33"/>
  <c r="AB15" i="33"/>
  <c r="AA15" i="33"/>
  <c r="H14" i="33"/>
  <c r="D14" i="33"/>
  <c r="AC14" i="33"/>
  <c r="AB14" i="33"/>
  <c r="AA14" i="33"/>
  <c r="Y14" i="33"/>
  <c r="X14" i="33"/>
  <c r="W14" i="33"/>
  <c r="V14" i="33"/>
  <c r="U14" i="33"/>
  <c r="T14" i="33"/>
  <c r="I15" i="33"/>
  <c r="H15" i="33"/>
  <c r="D15" i="33"/>
  <c r="AC13" i="33"/>
  <c r="AB13" i="33"/>
  <c r="AA13" i="33"/>
  <c r="Y13" i="33"/>
  <c r="X13" i="33"/>
  <c r="I13" i="33" s="1"/>
  <c r="W13" i="33"/>
  <c r="V13" i="33"/>
  <c r="U13" i="33"/>
  <c r="E13" i="33" s="1"/>
  <c r="T13" i="33"/>
  <c r="H13" i="33"/>
  <c r="D13" i="33"/>
  <c r="AC12" i="33"/>
  <c r="AB12" i="33"/>
  <c r="AA12" i="33"/>
  <c r="Y12" i="33"/>
  <c r="X12" i="33"/>
  <c r="I12" i="33" s="1"/>
  <c r="W12" i="33"/>
  <c r="V12" i="33"/>
  <c r="U12" i="33"/>
  <c r="E12" i="33" s="1"/>
  <c r="T12" i="33"/>
  <c r="H12" i="33"/>
  <c r="D12" i="33"/>
  <c r="AC11" i="33"/>
  <c r="AB11" i="33"/>
  <c r="AA11" i="33"/>
  <c r="Y11" i="33"/>
  <c r="X11" i="33"/>
  <c r="I11" i="33" s="1"/>
  <c r="W11" i="33"/>
  <c r="V11" i="33"/>
  <c r="U11" i="33"/>
  <c r="E11" i="33" s="1"/>
  <c r="T11" i="33"/>
  <c r="H11" i="33"/>
  <c r="D11" i="33"/>
  <c r="AC10" i="33"/>
  <c r="AB10" i="33"/>
  <c r="AA10" i="33"/>
  <c r="Y10" i="33"/>
  <c r="X10" i="33"/>
  <c r="W10" i="33"/>
  <c r="V10" i="33"/>
  <c r="U10" i="33"/>
  <c r="T10" i="33"/>
  <c r="H8" i="33"/>
  <c r="D8" i="33"/>
  <c r="AC9" i="33"/>
  <c r="AB9" i="33"/>
  <c r="AA9" i="33"/>
  <c r="Y9" i="33"/>
  <c r="X9" i="33"/>
  <c r="W9" i="33"/>
  <c r="V9" i="33"/>
  <c r="U9" i="33"/>
  <c r="T9" i="33"/>
  <c r="H10" i="33"/>
  <c r="D10" i="33"/>
  <c r="AC8" i="33"/>
  <c r="AB8" i="33"/>
  <c r="AA8" i="33"/>
  <c r="Y8" i="33"/>
  <c r="X8" i="33"/>
  <c r="W8" i="33"/>
  <c r="V8" i="33"/>
  <c r="U8" i="33"/>
  <c r="T8" i="33"/>
  <c r="H9" i="33"/>
  <c r="D9" i="33"/>
  <c r="AC7" i="33"/>
  <c r="AB7" i="33"/>
  <c r="AA7" i="33"/>
  <c r="Y7" i="33"/>
  <c r="X7" i="33"/>
  <c r="I7" i="33" s="1"/>
  <c r="W7" i="33"/>
  <c r="V7" i="33"/>
  <c r="U7" i="33"/>
  <c r="E7" i="33" s="1"/>
  <c r="T7" i="33"/>
  <c r="H7" i="33"/>
  <c r="D7" i="33"/>
  <c r="N3" i="33"/>
  <c r="D2" i="33"/>
  <c r="O6" i="30"/>
  <c r="O31" i="30" s="1"/>
  <c r="F35" i="32"/>
  <c r="F39" i="30"/>
  <c r="F35" i="30"/>
  <c r="D9" i="30"/>
  <c r="AC31" i="32"/>
  <c r="AB31" i="32"/>
  <c r="AA31" i="32"/>
  <c r="Y31" i="32"/>
  <c r="X31" i="32"/>
  <c r="I31" i="32" s="1"/>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AA26" i="32"/>
  <c r="Y26" i="32"/>
  <c r="X26" i="32"/>
  <c r="I26" i="32" s="1"/>
  <c r="W26" i="32"/>
  <c r="V26" i="32"/>
  <c r="U26" i="32"/>
  <c r="T26" i="32"/>
  <c r="H26" i="32"/>
  <c r="D26" i="32"/>
  <c r="AC25" i="32"/>
  <c r="AB25" i="32"/>
  <c r="AA25" i="32"/>
  <c r="Y25" i="32"/>
  <c r="X25" i="32"/>
  <c r="W25" i="32"/>
  <c r="V25" i="32"/>
  <c r="U25" i="32"/>
  <c r="T25" i="32"/>
  <c r="D25" i="32"/>
  <c r="AC24" i="32"/>
  <c r="AB24" i="32"/>
  <c r="AA24" i="32"/>
  <c r="Y24" i="32"/>
  <c r="X24" i="32"/>
  <c r="W24" i="32"/>
  <c r="V24" i="32"/>
  <c r="U24" i="32"/>
  <c r="T24" i="32"/>
  <c r="AC23" i="32"/>
  <c r="AB23" i="32"/>
  <c r="AA23" i="32"/>
  <c r="Y23" i="32"/>
  <c r="X23" i="32"/>
  <c r="W23" i="32"/>
  <c r="V23" i="32"/>
  <c r="U23" i="32"/>
  <c r="T23" i="32"/>
  <c r="D23" i="32"/>
  <c r="AC22" i="32"/>
  <c r="AB22" i="32"/>
  <c r="AA22" i="32"/>
  <c r="Y22" i="32"/>
  <c r="X22" i="32"/>
  <c r="W22" i="32"/>
  <c r="V22" i="32"/>
  <c r="U22" i="32"/>
  <c r="T22" i="32"/>
  <c r="AC21" i="32"/>
  <c r="AB21" i="32"/>
  <c r="AA21" i="32"/>
  <c r="Y21" i="32"/>
  <c r="X21" i="32"/>
  <c r="W21" i="32"/>
  <c r="V21" i="32"/>
  <c r="U21" i="32"/>
  <c r="T21" i="32"/>
  <c r="AC20" i="32"/>
  <c r="AB20" i="32"/>
  <c r="AA20" i="32"/>
  <c r="Y20" i="32"/>
  <c r="X20" i="32"/>
  <c r="W20" i="32"/>
  <c r="V20" i="32"/>
  <c r="U20" i="32"/>
  <c r="T20" i="32"/>
  <c r="AC19" i="32"/>
  <c r="AB19" i="32"/>
  <c r="AA19" i="32"/>
  <c r="Y19" i="32"/>
  <c r="X19" i="32"/>
  <c r="W19" i="32"/>
  <c r="V19" i="32"/>
  <c r="U19" i="32"/>
  <c r="T19" i="32"/>
  <c r="AC18" i="32"/>
  <c r="AB18" i="32"/>
  <c r="AA18" i="32"/>
  <c r="Y18" i="32"/>
  <c r="X18" i="32"/>
  <c r="W18" i="32"/>
  <c r="V18" i="32"/>
  <c r="U18" i="32"/>
  <c r="T18" i="32"/>
  <c r="AC17" i="32"/>
  <c r="AB17" i="32"/>
  <c r="AA17" i="32"/>
  <c r="Y17" i="32"/>
  <c r="X17" i="32"/>
  <c r="W17" i="32"/>
  <c r="V17" i="32"/>
  <c r="U17" i="32"/>
  <c r="T17" i="32"/>
  <c r="AC16" i="32"/>
  <c r="AB16" i="32"/>
  <c r="AA16" i="32"/>
  <c r="Y16" i="32"/>
  <c r="X16" i="32"/>
  <c r="I16" i="32" s="1"/>
  <c r="W16" i="32"/>
  <c r="V16" i="32"/>
  <c r="U16" i="32"/>
  <c r="E16" i="32" s="1"/>
  <c r="T16" i="32"/>
  <c r="H16" i="32"/>
  <c r="D16" i="32"/>
  <c r="AC15" i="32"/>
  <c r="AB15" i="32"/>
  <c r="AA15" i="32"/>
  <c r="Y15" i="32"/>
  <c r="X15" i="32"/>
  <c r="I15" i="32" s="1"/>
  <c r="W15" i="32"/>
  <c r="V15" i="32"/>
  <c r="U15" i="32"/>
  <c r="E15" i="32" s="1"/>
  <c r="T15" i="32"/>
  <c r="H15" i="32"/>
  <c r="D15" i="32"/>
  <c r="AC14" i="32"/>
  <c r="AB14" i="32"/>
  <c r="AA14" i="32"/>
  <c r="Y14" i="32"/>
  <c r="X14" i="32"/>
  <c r="I14" i="32" s="1"/>
  <c r="W14" i="32"/>
  <c r="V14" i="32"/>
  <c r="U14" i="32"/>
  <c r="T14" i="32"/>
  <c r="H14" i="32"/>
  <c r="E14" i="32"/>
  <c r="D14" i="32"/>
  <c r="AC13" i="32"/>
  <c r="AB13" i="32"/>
  <c r="AA13" i="32"/>
  <c r="Y13" i="32"/>
  <c r="X13" i="32"/>
  <c r="I13" i="32" s="1"/>
  <c r="W13" i="32"/>
  <c r="V13" i="32"/>
  <c r="U13" i="32"/>
  <c r="E13" i="32" s="1"/>
  <c r="T13" i="32"/>
  <c r="H13" i="32"/>
  <c r="D13" i="32"/>
  <c r="AC12" i="32"/>
  <c r="AB12" i="32"/>
  <c r="AA12" i="32"/>
  <c r="Y12" i="32"/>
  <c r="X12" i="32"/>
  <c r="I12" i="32" s="1"/>
  <c r="W12" i="32"/>
  <c r="V12" i="32"/>
  <c r="U12" i="32"/>
  <c r="E12" i="32" s="1"/>
  <c r="T12" i="32"/>
  <c r="H12" i="32"/>
  <c r="D12" i="32"/>
  <c r="AC11" i="32"/>
  <c r="AB11" i="32"/>
  <c r="AA11" i="32"/>
  <c r="Y11" i="32"/>
  <c r="X11" i="32"/>
  <c r="I11" i="32" s="1"/>
  <c r="W11" i="32"/>
  <c r="V11" i="32"/>
  <c r="U11" i="32"/>
  <c r="E11" i="32" s="1"/>
  <c r="T11" i="32"/>
  <c r="H11" i="32"/>
  <c r="D11" i="32"/>
  <c r="AC10" i="32"/>
  <c r="AB10" i="32"/>
  <c r="AA10" i="32"/>
  <c r="Y10" i="32"/>
  <c r="X10" i="32"/>
  <c r="I10" i="32" s="1"/>
  <c r="W10" i="32"/>
  <c r="V10" i="32"/>
  <c r="U10" i="32"/>
  <c r="E10" i="32" s="1"/>
  <c r="T10" i="32"/>
  <c r="H10" i="32"/>
  <c r="D10" i="32"/>
  <c r="AC9" i="32"/>
  <c r="AB9" i="32"/>
  <c r="AA9" i="32"/>
  <c r="Y9" i="32"/>
  <c r="X9" i="32"/>
  <c r="I9" i="32" s="1"/>
  <c r="W9" i="32"/>
  <c r="V9" i="32"/>
  <c r="U9" i="32"/>
  <c r="E9" i="32" s="1"/>
  <c r="T9" i="32"/>
  <c r="H9" i="32"/>
  <c r="D9" i="32"/>
  <c r="AC8" i="32"/>
  <c r="AB8" i="32"/>
  <c r="AA8" i="32"/>
  <c r="Y8" i="32"/>
  <c r="X8" i="32"/>
  <c r="I8" i="32" s="1"/>
  <c r="W8" i="32"/>
  <c r="V8" i="32"/>
  <c r="U8" i="32"/>
  <c r="E8" i="32" s="1"/>
  <c r="T8" i="32"/>
  <c r="H8" i="32"/>
  <c r="D8" i="32"/>
  <c r="AC7" i="32"/>
  <c r="AB7" i="32"/>
  <c r="AA7" i="32"/>
  <c r="Y7" i="32"/>
  <c r="X7" i="32"/>
  <c r="I7" i="32" s="1"/>
  <c r="W7" i="32"/>
  <c r="V7" i="32"/>
  <c r="U7" i="32"/>
  <c r="E7" i="32" s="1"/>
  <c r="T7" i="32"/>
  <c r="H7" i="32"/>
  <c r="D7" i="32"/>
  <c r="O6" i="32"/>
  <c r="O16" i="32" s="1"/>
  <c r="N3" i="32"/>
  <c r="D2" i="32"/>
  <c r="D19" i="30"/>
  <c r="H19" i="30"/>
  <c r="N3" i="30"/>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W26" i="30"/>
  <c r="V26" i="30"/>
  <c r="U26" i="30"/>
  <c r="T26" i="30"/>
  <c r="H26" i="30"/>
  <c r="D26" i="30"/>
  <c r="AC25" i="30"/>
  <c r="AB25" i="30"/>
  <c r="AA25" i="30"/>
  <c r="Y25" i="30"/>
  <c r="X25" i="30"/>
  <c r="W25" i="30"/>
  <c r="V25" i="30"/>
  <c r="U25" i="30"/>
  <c r="T25" i="30"/>
  <c r="D25" i="30"/>
  <c r="AC24" i="30"/>
  <c r="AB24" i="30"/>
  <c r="AA24" i="30"/>
  <c r="Y24" i="30"/>
  <c r="X24" i="30"/>
  <c r="W24" i="30"/>
  <c r="V24" i="30"/>
  <c r="U24" i="30"/>
  <c r="T24" i="30"/>
  <c r="AC23" i="30"/>
  <c r="AB23" i="30"/>
  <c r="AA23" i="30"/>
  <c r="Y23" i="30"/>
  <c r="X23" i="30"/>
  <c r="W23" i="30"/>
  <c r="V23" i="30"/>
  <c r="U23" i="30"/>
  <c r="T23" i="30"/>
  <c r="D23" i="30"/>
  <c r="AC22" i="30"/>
  <c r="AB22" i="30"/>
  <c r="AA22" i="30"/>
  <c r="Y22" i="30"/>
  <c r="X22" i="30"/>
  <c r="W22" i="30"/>
  <c r="V22" i="30"/>
  <c r="U22" i="30"/>
  <c r="T22" i="30"/>
  <c r="AC21" i="30"/>
  <c r="AB21" i="30"/>
  <c r="AA21" i="30"/>
  <c r="Y21" i="30"/>
  <c r="X21" i="30"/>
  <c r="W21" i="30"/>
  <c r="V21" i="30"/>
  <c r="U21" i="30"/>
  <c r="T21" i="30"/>
  <c r="AC20" i="30"/>
  <c r="AB20" i="30"/>
  <c r="AA20" i="30"/>
  <c r="Y20" i="30"/>
  <c r="X20" i="30"/>
  <c r="W20" i="30"/>
  <c r="V20" i="30"/>
  <c r="U20" i="30"/>
  <c r="T20" i="30"/>
  <c r="AC19" i="30"/>
  <c r="AB19" i="30"/>
  <c r="AA19" i="30"/>
  <c r="Y19" i="30"/>
  <c r="X19" i="30"/>
  <c r="W19" i="30"/>
  <c r="V19" i="30"/>
  <c r="U19" i="30"/>
  <c r="T19" i="30"/>
  <c r="AC18" i="30"/>
  <c r="AB18" i="30"/>
  <c r="AA18" i="30"/>
  <c r="Y18" i="30"/>
  <c r="X18" i="30"/>
  <c r="W18" i="30"/>
  <c r="V18" i="30"/>
  <c r="U18" i="30"/>
  <c r="T18" i="30"/>
  <c r="H18" i="30"/>
  <c r="D18" i="30"/>
  <c r="AC17" i="30"/>
  <c r="AB17" i="30"/>
  <c r="AA17" i="30"/>
  <c r="Y17" i="30"/>
  <c r="X17" i="30"/>
  <c r="W17" i="30"/>
  <c r="V17" i="30"/>
  <c r="U17" i="30"/>
  <c r="T17" i="30"/>
  <c r="H16" i="30"/>
  <c r="D16" i="30"/>
  <c r="AC16" i="30"/>
  <c r="AB16" i="30"/>
  <c r="AA16" i="30"/>
  <c r="Y16" i="30"/>
  <c r="X16" i="30"/>
  <c r="W16" i="30"/>
  <c r="V16" i="30"/>
  <c r="U16" i="30"/>
  <c r="T16" i="30"/>
  <c r="H15" i="30"/>
  <c r="D15" i="30"/>
  <c r="AC15" i="30"/>
  <c r="AB15" i="30"/>
  <c r="AA15" i="30"/>
  <c r="Y15" i="30"/>
  <c r="X15" i="30"/>
  <c r="W15" i="30"/>
  <c r="V15" i="30"/>
  <c r="U15" i="30"/>
  <c r="T15" i="30"/>
  <c r="H13" i="30"/>
  <c r="D13" i="30"/>
  <c r="AC14" i="30"/>
  <c r="AB14" i="30"/>
  <c r="AA14" i="30"/>
  <c r="Y14" i="30"/>
  <c r="X14" i="30"/>
  <c r="W14" i="30"/>
  <c r="V14" i="30"/>
  <c r="U14" i="30"/>
  <c r="T14" i="30"/>
  <c r="H17" i="30"/>
  <c r="D17" i="30"/>
  <c r="AC13" i="30"/>
  <c r="AB13" i="30"/>
  <c r="AA13" i="30"/>
  <c r="Y13" i="30"/>
  <c r="X13" i="30"/>
  <c r="W13" i="30"/>
  <c r="V13" i="30"/>
  <c r="U13" i="30"/>
  <c r="T13" i="30"/>
  <c r="H14" i="30"/>
  <c r="D14" i="30"/>
  <c r="AC12" i="30"/>
  <c r="AB12" i="30"/>
  <c r="AA12" i="30"/>
  <c r="Y12" i="30"/>
  <c r="X12" i="30"/>
  <c r="W12" i="30"/>
  <c r="V12" i="30"/>
  <c r="U12" i="30"/>
  <c r="T12" i="30"/>
  <c r="H10" i="30"/>
  <c r="D10" i="30"/>
  <c r="AC11" i="30"/>
  <c r="AB11" i="30"/>
  <c r="AA11" i="30"/>
  <c r="Y11" i="30"/>
  <c r="X11" i="30"/>
  <c r="W11" i="30"/>
  <c r="V11" i="30"/>
  <c r="U11" i="30"/>
  <c r="T11" i="30"/>
  <c r="H12" i="30"/>
  <c r="D12" i="30"/>
  <c r="AC10" i="30"/>
  <c r="AB10" i="30"/>
  <c r="AA10" i="30"/>
  <c r="Y10" i="30"/>
  <c r="X10" i="30"/>
  <c r="W10" i="30"/>
  <c r="V10" i="30"/>
  <c r="U10" i="30"/>
  <c r="T10" i="30"/>
  <c r="H11" i="30"/>
  <c r="D11" i="30"/>
  <c r="AC9" i="30"/>
  <c r="AB9" i="30"/>
  <c r="AA9" i="30"/>
  <c r="Y9" i="30"/>
  <c r="X9" i="30"/>
  <c r="W9" i="30"/>
  <c r="V9" i="30"/>
  <c r="U9" i="30"/>
  <c r="T9" i="30"/>
  <c r="H9" i="30"/>
  <c r="AC8" i="30"/>
  <c r="AB8" i="30"/>
  <c r="AA8" i="30"/>
  <c r="Y8" i="30"/>
  <c r="X8" i="30"/>
  <c r="W8" i="30"/>
  <c r="V8" i="30"/>
  <c r="U8" i="30"/>
  <c r="T8" i="30"/>
  <c r="H7" i="30"/>
  <c r="D7" i="30"/>
  <c r="AC7" i="30"/>
  <c r="AB7" i="30"/>
  <c r="AA7" i="30"/>
  <c r="Y7" i="30"/>
  <c r="X7" i="30"/>
  <c r="W7" i="30"/>
  <c r="V7" i="30"/>
  <c r="U7" i="30"/>
  <c r="T7" i="30"/>
  <c r="H8" i="30"/>
  <c r="D8" i="30"/>
  <c r="D2" i="30"/>
  <c r="I15" i="36" l="1"/>
  <c r="I19" i="36"/>
  <c r="E8" i="36"/>
  <c r="E12" i="36"/>
  <c r="E20" i="36"/>
  <c r="I13" i="36"/>
  <c r="E14" i="36"/>
  <c r="E23" i="36"/>
  <c r="E13" i="36"/>
  <c r="I17" i="36"/>
  <c r="I8" i="36"/>
  <c r="K8" i="36" s="1"/>
  <c r="I23" i="36"/>
  <c r="K23" i="36" s="1"/>
  <c r="E10" i="36"/>
  <c r="I16" i="36"/>
  <c r="I7" i="36"/>
  <c r="K7" i="36" s="1"/>
  <c r="E9" i="36"/>
  <c r="E11" i="36"/>
  <c r="E16" i="36"/>
  <c r="I18" i="36"/>
  <c r="K18" i="36" s="1"/>
  <c r="E17" i="36"/>
  <c r="I21" i="36"/>
  <c r="K21" i="36" s="1"/>
  <c r="I9" i="36"/>
  <c r="I11" i="36"/>
  <c r="K11" i="36" s="1"/>
  <c r="E7" i="36"/>
  <c r="I12" i="36"/>
  <c r="K12" i="36" s="1"/>
  <c r="E15" i="36"/>
  <c r="I14" i="36"/>
  <c r="K14" i="36" s="1"/>
  <c r="E19" i="36"/>
  <c r="I20" i="36"/>
  <c r="K20" i="36" s="1"/>
  <c r="E18" i="36"/>
  <c r="E21" i="36"/>
  <c r="O19" i="30"/>
  <c r="E11" i="35"/>
  <c r="I8" i="35"/>
  <c r="I12" i="35"/>
  <c r="E7" i="35"/>
  <c r="I14" i="35"/>
  <c r="K14" i="35" s="1"/>
  <c r="E15" i="35"/>
  <c r="E10" i="35"/>
  <c r="E9" i="35"/>
  <c r="E13" i="35"/>
  <c r="E8" i="35"/>
  <c r="E12" i="35"/>
  <c r="I7" i="35"/>
  <c r="K7" i="35" s="1"/>
  <c r="I11" i="35"/>
  <c r="K11" i="35" s="1"/>
  <c r="O10" i="32"/>
  <c r="O8" i="32"/>
  <c r="O12" i="32"/>
  <c r="O14" i="32"/>
  <c r="E9" i="33"/>
  <c r="E14" i="34"/>
  <c r="I8" i="33"/>
  <c r="I14" i="33"/>
  <c r="K14" i="33" s="1"/>
  <c r="E14" i="33"/>
  <c r="I10" i="33"/>
  <c r="E8" i="33"/>
  <c r="I9" i="33"/>
  <c r="K9" i="33" s="1"/>
  <c r="E10" i="33"/>
  <c r="E15" i="33"/>
  <c r="E9" i="30"/>
  <c r="E14" i="30"/>
  <c r="E19" i="30"/>
  <c r="I26" i="34"/>
  <c r="N31" i="34"/>
  <c r="E11" i="34"/>
  <c r="E7" i="34"/>
  <c r="E9" i="34"/>
  <c r="E12" i="34"/>
  <c r="E13" i="34"/>
  <c r="E8" i="34"/>
  <c r="E10" i="34"/>
  <c r="I18" i="30"/>
  <c r="I31" i="30"/>
  <c r="K31" i="30" s="1"/>
  <c r="I26" i="30"/>
  <c r="E8" i="30"/>
  <c r="I9" i="30"/>
  <c r="I19" i="30"/>
  <c r="K19" i="30" s="1"/>
  <c r="I12" i="30"/>
  <c r="I13" i="30"/>
  <c r="E16" i="30"/>
  <c r="I8" i="30"/>
  <c r="K8" i="30" s="1"/>
  <c r="E12" i="30"/>
  <c r="E13" i="30"/>
  <c r="I10" i="30"/>
  <c r="K9" i="36"/>
  <c r="K10" i="36"/>
  <c r="K13" i="36"/>
  <c r="K16" i="36"/>
  <c r="K22" i="36"/>
  <c r="K17" i="36"/>
  <c r="K27" i="36"/>
  <c r="K31" i="35"/>
  <c r="O31" i="32"/>
  <c r="N31" i="33"/>
  <c r="N8" i="36"/>
  <c r="K15" i="36"/>
  <c r="K19" i="36"/>
  <c r="K31" i="36"/>
  <c r="K26" i="36"/>
  <c r="N7" i="35"/>
  <c r="K9" i="35"/>
  <c r="K10" i="35"/>
  <c r="N11" i="35"/>
  <c r="N16" i="35"/>
  <c r="K18" i="35"/>
  <c r="N20" i="35"/>
  <c r="K27" i="35"/>
  <c r="N7" i="36"/>
  <c r="N11" i="36"/>
  <c r="N15" i="36"/>
  <c r="N12" i="36"/>
  <c r="N19" i="36"/>
  <c r="N23" i="36"/>
  <c r="N17" i="36"/>
  <c r="O31" i="36"/>
  <c r="K13" i="35"/>
  <c r="K17" i="35"/>
  <c r="O7" i="36"/>
  <c r="O11" i="36"/>
  <c r="O15" i="36"/>
  <c r="O12" i="36"/>
  <c r="O19" i="36"/>
  <c r="O23" i="36"/>
  <c r="O17" i="36"/>
  <c r="N26" i="36"/>
  <c r="N27" i="36"/>
  <c r="K8" i="35"/>
  <c r="N10" i="35"/>
  <c r="K12" i="35"/>
  <c r="N14" i="35"/>
  <c r="K16" i="35"/>
  <c r="N18" i="35"/>
  <c r="K20" i="35"/>
  <c r="N10" i="36"/>
  <c r="N13" i="36"/>
  <c r="N9" i="36"/>
  <c r="N14" i="36"/>
  <c r="N18" i="36"/>
  <c r="N21" i="36"/>
  <c r="N16" i="36"/>
  <c r="O26" i="36"/>
  <c r="K15" i="35"/>
  <c r="K19" i="35"/>
  <c r="O8" i="36"/>
  <c r="O10" i="36"/>
  <c r="O13" i="36"/>
  <c r="O9" i="36"/>
  <c r="O14" i="36"/>
  <c r="O18" i="36"/>
  <c r="O21" i="36"/>
  <c r="K26" i="35"/>
  <c r="O7" i="35"/>
  <c r="O10" i="35"/>
  <c r="O11" i="35"/>
  <c r="O16" i="35"/>
  <c r="N26" i="35"/>
  <c r="N27" i="35"/>
  <c r="N8" i="35"/>
  <c r="N9" i="35"/>
  <c r="N12" i="35"/>
  <c r="N13" i="35"/>
  <c r="N15" i="35"/>
  <c r="N17" i="35"/>
  <c r="N19" i="35"/>
  <c r="N21" i="35"/>
  <c r="O26" i="35"/>
  <c r="K26" i="34"/>
  <c r="M26" i="34" s="1"/>
  <c r="K27" i="34"/>
  <c r="L27" i="34" s="1"/>
  <c r="O8" i="35"/>
  <c r="O9" i="35"/>
  <c r="O12" i="35"/>
  <c r="O15" i="35"/>
  <c r="N11" i="33"/>
  <c r="K7" i="33"/>
  <c r="M7" i="33" s="1"/>
  <c r="N13" i="33"/>
  <c r="N16" i="33"/>
  <c r="N8" i="33"/>
  <c r="K15" i="33"/>
  <c r="K31" i="33"/>
  <c r="N10" i="33"/>
  <c r="K31" i="34"/>
  <c r="L31" i="34" s="1"/>
  <c r="K12" i="33"/>
  <c r="K13" i="33"/>
  <c r="K17" i="33"/>
  <c r="K26" i="33"/>
  <c r="N26" i="34"/>
  <c r="N27" i="34"/>
  <c r="N9" i="33"/>
  <c r="K8" i="33"/>
  <c r="K11" i="33"/>
  <c r="N14" i="33"/>
  <c r="K16" i="33"/>
  <c r="O26" i="34"/>
  <c r="N7" i="33"/>
  <c r="K10" i="33"/>
  <c r="N12" i="33"/>
  <c r="I11" i="30"/>
  <c r="K11" i="30" s="1"/>
  <c r="O8" i="33"/>
  <c r="O10" i="33"/>
  <c r="O12" i="33"/>
  <c r="O14" i="33"/>
  <c r="O16" i="33"/>
  <c r="N26" i="33"/>
  <c r="N27" i="33"/>
  <c r="N15" i="33"/>
  <c r="N17" i="33"/>
  <c r="O26" i="33"/>
  <c r="K27" i="33"/>
  <c r="O7" i="33"/>
  <c r="O9" i="33"/>
  <c r="O11" i="33"/>
  <c r="O13" i="33"/>
  <c r="O15" i="33"/>
  <c r="O17" i="33"/>
  <c r="K9" i="32"/>
  <c r="K12" i="32"/>
  <c r="K31" i="32"/>
  <c r="K10" i="32"/>
  <c r="K15" i="32"/>
  <c r="K11" i="32"/>
  <c r="K14" i="32"/>
  <c r="K7" i="32"/>
  <c r="M7" i="32" s="1"/>
  <c r="K8" i="32"/>
  <c r="K13" i="32"/>
  <c r="K26" i="32"/>
  <c r="K27" i="32"/>
  <c r="N7" i="32"/>
  <c r="N9" i="32"/>
  <c r="N11" i="32"/>
  <c r="N13" i="32"/>
  <c r="N15" i="32"/>
  <c r="O26" i="32"/>
  <c r="I7" i="30"/>
  <c r="K7" i="30" s="1"/>
  <c r="O7" i="32"/>
  <c r="O9" i="32"/>
  <c r="O11" i="32"/>
  <c r="O13" i="32"/>
  <c r="O15" i="32"/>
  <c r="N31" i="32"/>
  <c r="K16" i="32"/>
  <c r="N26" i="32"/>
  <c r="N27" i="32"/>
  <c r="I14" i="30"/>
  <c r="K14" i="30" s="1"/>
  <c r="E17" i="30"/>
  <c r="E15" i="30"/>
  <c r="E18" i="30"/>
  <c r="N8" i="32"/>
  <c r="N10" i="32"/>
  <c r="N12" i="32"/>
  <c r="N14" i="32"/>
  <c r="N16" i="32"/>
  <c r="I17" i="30"/>
  <c r="K17" i="30" s="1"/>
  <c r="I15" i="30"/>
  <c r="K15" i="30" s="1"/>
  <c r="I16" i="30"/>
  <c r="K16" i="30" s="1"/>
  <c r="N8" i="30"/>
  <c r="N9" i="30"/>
  <c r="N10" i="30"/>
  <c r="N19" i="30"/>
  <c r="E7" i="30"/>
  <c r="E11" i="30"/>
  <c r="E10" i="30"/>
  <c r="N15" i="30"/>
  <c r="N17" i="30"/>
  <c r="K26" i="30"/>
  <c r="K27" i="30"/>
  <c r="N13" i="30"/>
  <c r="N12" i="30"/>
  <c r="N14" i="30"/>
  <c r="N26" i="30"/>
  <c r="N11" i="30"/>
  <c r="N7" i="30"/>
  <c r="K10" i="30"/>
  <c r="K9" i="30"/>
  <c r="K13" i="30"/>
  <c r="K12" i="30"/>
  <c r="K18" i="30"/>
  <c r="N27" i="30"/>
  <c r="O7" i="30"/>
  <c r="O9" i="30"/>
  <c r="O11" i="30"/>
  <c r="O13" i="30"/>
  <c r="O15" i="30"/>
  <c r="O17" i="30"/>
  <c r="O26" i="30"/>
  <c r="N16" i="30"/>
  <c r="N18" i="30"/>
  <c r="N31" i="30"/>
  <c r="O8" i="30"/>
  <c r="O10" i="30"/>
  <c r="O12" i="30"/>
  <c r="O14" i="30"/>
  <c r="O16" i="30"/>
  <c r="O18" i="30"/>
  <c r="O6" i="27"/>
  <c r="F36" i="27"/>
  <c r="F39" i="27"/>
  <c r="F35" i="27"/>
  <c r="L20" i="36" l="1"/>
  <c r="L22" i="36"/>
  <c r="M22" i="36"/>
  <c r="M20" i="36"/>
  <c r="M16" i="36"/>
  <c r="L9" i="36"/>
  <c r="M8" i="35"/>
  <c r="M20" i="35"/>
  <c r="M11" i="35"/>
  <c r="L9" i="35"/>
  <c r="L17" i="35"/>
  <c r="L12" i="35"/>
  <c r="L31" i="35"/>
  <c r="M21" i="36"/>
  <c r="M27" i="36"/>
  <c r="L23" i="36"/>
  <c r="M9" i="36"/>
  <c r="L10" i="36"/>
  <c r="L14" i="36"/>
  <c r="M19" i="36"/>
  <c r="M7" i="36"/>
  <c r="M18" i="36"/>
  <c r="L27" i="36"/>
  <c r="L12" i="36"/>
  <c r="L8" i="36"/>
  <c r="M10" i="36"/>
  <c r="M31" i="36"/>
  <c r="M14" i="36"/>
  <c r="L11" i="36"/>
  <c r="L16" i="36"/>
  <c r="M12" i="36"/>
  <c r="M8" i="36"/>
  <c r="L31" i="36"/>
  <c r="M17" i="36"/>
  <c r="L15" i="36"/>
  <c r="M15" i="36"/>
  <c r="L13" i="36"/>
  <c r="L21" i="36"/>
  <c r="M13" i="36"/>
  <c r="M23" i="36"/>
  <c r="M11" i="36"/>
  <c r="L31" i="33"/>
  <c r="L7" i="33"/>
  <c r="M9" i="33"/>
  <c r="L11" i="33"/>
  <c r="L13" i="33"/>
  <c r="M18" i="35"/>
  <c r="L17" i="36"/>
  <c r="M31" i="35"/>
  <c r="L26" i="34"/>
  <c r="M13" i="33"/>
  <c r="M17" i="33"/>
  <c r="L17" i="33"/>
  <c r="L15" i="35"/>
  <c r="L7" i="35"/>
  <c r="M15" i="35"/>
  <c r="L19" i="36"/>
  <c r="L7" i="36"/>
  <c r="L8" i="33"/>
  <c r="L10" i="33"/>
  <c r="M26" i="33"/>
  <c r="M12" i="33"/>
  <c r="M12" i="35"/>
  <c r="L8" i="35"/>
  <c r="M17" i="35"/>
  <c r="M27" i="35"/>
  <c r="L14" i="35"/>
  <c r="L18" i="36"/>
  <c r="M15" i="33"/>
  <c r="L16" i="33"/>
  <c r="M14" i="33"/>
  <c r="L10" i="35"/>
  <c r="M14" i="35"/>
  <c r="M19" i="35"/>
  <c r="M16" i="35"/>
  <c r="M31" i="30"/>
  <c r="L27" i="30"/>
  <c r="M27" i="34"/>
  <c r="L12" i="32"/>
  <c r="L20" i="35"/>
  <c r="M13" i="35"/>
  <c r="L13" i="35"/>
  <c r="L18" i="35"/>
  <c r="L19" i="35"/>
  <c r="L27" i="35"/>
  <c r="L16" i="35"/>
  <c r="M9" i="35"/>
  <c r="L11" i="35"/>
  <c r="M7" i="35"/>
  <c r="M10" i="35"/>
  <c r="L26" i="36"/>
  <c r="M26" i="36"/>
  <c r="L26" i="32"/>
  <c r="M10" i="33"/>
  <c r="M31" i="34"/>
  <c r="M31" i="33"/>
  <c r="M8" i="32"/>
  <c r="L26" i="35"/>
  <c r="M26" i="35"/>
  <c r="M16" i="33"/>
  <c r="M11" i="33"/>
  <c r="L14" i="33"/>
  <c r="L9" i="33"/>
  <c r="L15" i="33"/>
  <c r="M8" i="33"/>
  <c r="L15" i="32"/>
  <c r="L12" i="33"/>
  <c r="M26" i="32"/>
  <c r="L13" i="32"/>
  <c r="M10" i="32"/>
  <c r="L9" i="32"/>
  <c r="L26" i="33"/>
  <c r="M12" i="32"/>
  <c r="M15" i="32"/>
  <c r="L7" i="32"/>
  <c r="M13" i="32"/>
  <c r="M19" i="30"/>
  <c r="L10" i="32"/>
  <c r="M14" i="32"/>
  <c r="M9" i="32"/>
  <c r="L31" i="32"/>
  <c r="L8" i="32"/>
  <c r="L27" i="33"/>
  <c r="M27" i="33"/>
  <c r="L11" i="32"/>
  <c r="L27" i="32"/>
  <c r="M11" i="32"/>
  <c r="L14" i="32"/>
  <c r="M27" i="32"/>
  <c r="M31" i="32"/>
  <c r="M12" i="30"/>
  <c r="L11" i="30"/>
  <c r="M9" i="30"/>
  <c r="M16" i="32"/>
  <c r="L16" i="32"/>
  <c r="M27" i="30"/>
  <c r="M16" i="30"/>
  <c r="L16" i="30"/>
  <c r="M13" i="30"/>
  <c r="L14" i="30"/>
  <c r="L10" i="30"/>
  <c r="M7" i="30"/>
  <c r="L17" i="30"/>
  <c r="L12" i="30"/>
  <c r="M26" i="30"/>
  <c r="L7" i="30"/>
  <c r="M8" i="30"/>
  <c r="M14" i="30"/>
  <c r="M18" i="30"/>
  <c r="M15" i="30"/>
  <c r="M10" i="30"/>
  <c r="L19" i="30"/>
  <c r="L26" i="30"/>
  <c r="L18" i="30"/>
  <c r="L31" i="30"/>
  <c r="L8" i="30"/>
  <c r="M11" i="30"/>
  <c r="L9" i="30"/>
  <c r="L15" i="30"/>
  <c r="M17" i="30"/>
  <c r="L13" i="30"/>
  <c r="H37" i="19" l="1"/>
  <c r="D7" i="19" l="1"/>
  <c r="D8" i="19"/>
  <c r="D28" i="19" l="1"/>
  <c r="D26" i="19"/>
  <c r="D21" i="19"/>
  <c r="D15" i="19" l="1"/>
  <c r="L5" i="20" l="1"/>
  <c r="F37" i="19" l="1"/>
  <c r="AQ5" i="2" l="1"/>
  <c r="AQ6" i="2"/>
  <c r="AQ7" i="2"/>
  <c r="AQ8" i="2"/>
  <c r="AQ9" i="2"/>
  <c r="AQ10" i="2"/>
  <c r="AQ11" i="2"/>
  <c r="AQ12" i="2"/>
  <c r="AQ13" i="2"/>
  <c r="AQ14" i="2"/>
  <c r="AQ15" i="2"/>
  <c r="AQ16" i="2"/>
  <c r="D29" i="19" l="1"/>
  <c r="S15" i="20" l="1"/>
  <c r="Q7" i="20"/>
  <c r="R7" i="20"/>
  <c r="Q8" i="20"/>
  <c r="R8" i="20"/>
  <c r="Q9" i="20"/>
  <c r="R9" i="20"/>
  <c r="Q10" i="20"/>
  <c r="R10" i="20"/>
  <c r="Q11" i="20"/>
  <c r="R11" i="20"/>
  <c r="Q12" i="20"/>
  <c r="R12" i="20"/>
  <c r="Q13" i="20"/>
  <c r="R13" i="20"/>
  <c r="Q14" i="20"/>
  <c r="R14" i="20"/>
  <c r="Q15" i="20"/>
  <c r="R15" i="20"/>
  <c r="Q16" i="20"/>
  <c r="R16" i="20"/>
  <c r="Q17" i="20"/>
  <c r="R17" i="20"/>
  <c r="Q18" i="20"/>
  <c r="R18" i="20"/>
  <c r="S6" i="20"/>
  <c r="R6" i="20"/>
  <c r="Q6" i="20"/>
  <c r="AQ4" i="2"/>
  <c r="AI2" i="2"/>
  <c r="U19" i="19"/>
  <c r="R34" i="19"/>
  <c r="D16" i="19"/>
  <c r="Y31" i="27"/>
  <c r="X31" i="27"/>
  <c r="W31" i="27"/>
  <c r="Y30" i="27"/>
  <c r="X30" i="27"/>
  <c r="W30" i="27"/>
  <c r="Y29" i="27"/>
  <c r="X29" i="27"/>
  <c r="W29" i="27"/>
  <c r="Y28" i="27"/>
  <c r="X28" i="27"/>
  <c r="W28" i="27"/>
  <c r="Y27" i="27"/>
  <c r="X27" i="27"/>
  <c r="W27" i="27"/>
  <c r="Y26" i="27"/>
  <c r="X26" i="27"/>
  <c r="W26" i="27"/>
  <c r="Y25" i="27"/>
  <c r="X25" i="27"/>
  <c r="W25" i="27"/>
  <c r="Y24" i="27"/>
  <c r="X24" i="27"/>
  <c r="W24" i="27"/>
  <c r="Y23" i="27"/>
  <c r="X23" i="27"/>
  <c r="W23" i="27"/>
  <c r="Y22" i="27"/>
  <c r="X22" i="27"/>
  <c r="W22" i="27"/>
  <c r="Y21" i="27"/>
  <c r="X21" i="27"/>
  <c r="W21" i="27"/>
  <c r="Y20" i="27"/>
  <c r="X20" i="27"/>
  <c r="W20" i="27"/>
  <c r="Y19" i="27"/>
  <c r="X19" i="27"/>
  <c r="W19" i="27"/>
  <c r="Y18" i="27"/>
  <c r="X18" i="27"/>
  <c r="W18" i="27"/>
  <c r="Y17" i="27"/>
  <c r="X17" i="27"/>
  <c r="W17" i="27"/>
  <c r="Y16" i="27"/>
  <c r="X16" i="27"/>
  <c r="W16" i="27"/>
  <c r="Y15" i="27"/>
  <c r="X15" i="27"/>
  <c r="W15" i="27"/>
  <c r="Y14" i="27"/>
  <c r="X14" i="27"/>
  <c r="W14" i="27"/>
  <c r="Y13" i="27"/>
  <c r="X13" i="27"/>
  <c r="W13" i="27"/>
  <c r="Y12" i="27"/>
  <c r="X12" i="27"/>
  <c r="W12" i="27"/>
  <c r="Y11" i="27"/>
  <c r="X11" i="27"/>
  <c r="W11" i="27"/>
  <c r="Y10" i="27"/>
  <c r="X10" i="27"/>
  <c r="W10" i="27"/>
  <c r="Y9" i="27"/>
  <c r="X9" i="27"/>
  <c r="W9" i="27"/>
  <c r="Y8" i="27"/>
  <c r="X8" i="27"/>
  <c r="W8" i="27"/>
  <c r="Y7" i="27"/>
  <c r="X7" i="27"/>
  <c r="W7"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V18" i="27"/>
  <c r="U18" i="27"/>
  <c r="T18" i="27"/>
  <c r="V17" i="27"/>
  <c r="U17" i="27"/>
  <c r="T17" i="27"/>
  <c r="V16" i="27"/>
  <c r="U16" i="27"/>
  <c r="T16" i="27"/>
  <c r="V15" i="27"/>
  <c r="U15" i="27"/>
  <c r="T15" i="27"/>
  <c r="V14" i="27"/>
  <c r="U14" i="27"/>
  <c r="T14" i="27"/>
  <c r="E14" i="27" s="1"/>
  <c r="V13" i="27"/>
  <c r="U13" i="27"/>
  <c r="T13" i="27"/>
  <c r="V12" i="27"/>
  <c r="U12" i="27"/>
  <c r="T12" i="27"/>
  <c r="V11" i="27"/>
  <c r="U11" i="27"/>
  <c r="T11" i="27"/>
  <c r="V10" i="27"/>
  <c r="U10" i="27"/>
  <c r="T10" i="27"/>
  <c r="V9" i="27"/>
  <c r="U9" i="27"/>
  <c r="T9" i="27"/>
  <c r="V8" i="27"/>
  <c r="U8" i="27"/>
  <c r="T8" i="27"/>
  <c r="V7" i="27"/>
  <c r="U7" i="27"/>
  <c r="T7" i="27"/>
  <c r="AA36" i="19"/>
  <c r="D15" i="27"/>
  <c r="D36" i="19"/>
  <c r="D35" i="19"/>
  <c r="D34" i="19"/>
  <c r="D22" i="19"/>
  <c r="D12" i="19"/>
  <c r="D17" i="19"/>
  <c r="D25" i="19"/>
  <c r="U31" i="19"/>
  <c r="U30" i="19"/>
  <c r="U24" i="19"/>
  <c r="B5" i="20"/>
  <c r="J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H26" i="27"/>
  <c r="D26" i="27"/>
  <c r="AC25" i="27"/>
  <c r="AB25" i="27"/>
  <c r="AA25" i="27"/>
  <c r="D25" i="27"/>
  <c r="AC24" i="27"/>
  <c r="AB24" i="27"/>
  <c r="AA24" i="27"/>
  <c r="AC23" i="27"/>
  <c r="AB23" i="27"/>
  <c r="AA23" i="27"/>
  <c r="D23" i="27"/>
  <c r="AC22" i="27"/>
  <c r="AB22" i="27"/>
  <c r="AA22" i="27"/>
  <c r="H15" i="27"/>
  <c r="AC21" i="27"/>
  <c r="AB21" i="27"/>
  <c r="AA21" i="27"/>
  <c r="AC20" i="27"/>
  <c r="AB20" i="27"/>
  <c r="AA20" i="27"/>
  <c r="H8" i="27"/>
  <c r="D8" i="27"/>
  <c r="AC19" i="27"/>
  <c r="AB19" i="27"/>
  <c r="AA19" i="27"/>
  <c r="AC18" i="27"/>
  <c r="AB18" i="27"/>
  <c r="AA18" i="27"/>
  <c r="H9" i="27"/>
  <c r="D9" i="27"/>
  <c r="AC17" i="27"/>
  <c r="AB17" i="27"/>
  <c r="AA17" i="27"/>
  <c r="H17" i="27"/>
  <c r="D17" i="27"/>
  <c r="AC16" i="27"/>
  <c r="AB16" i="27"/>
  <c r="AA16" i="27"/>
  <c r="H18" i="27"/>
  <c r="D18" i="27"/>
  <c r="AC15" i="27"/>
  <c r="AB15" i="27"/>
  <c r="AA15" i="27"/>
  <c r="H12" i="27"/>
  <c r="D12" i="27"/>
  <c r="AC14" i="27"/>
  <c r="AB14" i="27"/>
  <c r="AA14" i="27"/>
  <c r="H13" i="27"/>
  <c r="D13" i="27"/>
  <c r="AC13" i="27"/>
  <c r="AB13" i="27"/>
  <c r="AA13" i="27"/>
  <c r="AC12" i="27"/>
  <c r="AB12" i="27"/>
  <c r="AA12" i="27"/>
  <c r="AC11" i="27"/>
  <c r="AB11" i="27"/>
  <c r="AA11" i="27"/>
  <c r="H7" i="27"/>
  <c r="D7" i="27"/>
  <c r="AC10" i="27"/>
  <c r="AB10" i="27"/>
  <c r="AA10" i="27"/>
  <c r="H10" i="27"/>
  <c r="D10" i="27"/>
  <c r="AC9" i="27"/>
  <c r="AB9" i="27"/>
  <c r="O9" i="27" s="1"/>
  <c r="AA9" i="27"/>
  <c r="H14" i="27"/>
  <c r="D14" i="27"/>
  <c r="AC8" i="27"/>
  <c r="AB8" i="27"/>
  <c r="AA8" i="27"/>
  <c r="H11" i="27"/>
  <c r="D11" i="27"/>
  <c r="AC7" i="27"/>
  <c r="AB7" i="27"/>
  <c r="AA7" i="27"/>
  <c r="H16" i="27"/>
  <c r="D16" i="27"/>
  <c r="D2" i="27"/>
  <c r="AF37" i="19"/>
  <c r="AE37" i="19"/>
  <c r="AD37" i="19"/>
  <c r="AC37" i="19"/>
  <c r="AB37" i="19"/>
  <c r="U11" i="19"/>
  <c r="U15" i="19"/>
  <c r="U22" i="19"/>
  <c r="U25" i="19"/>
  <c r="U14" i="19"/>
  <c r="U18" i="19"/>
  <c r="U10" i="19"/>
  <c r="U13" i="19"/>
  <c r="U7" i="19"/>
  <c r="U12" i="19"/>
  <c r="U9" i="19"/>
  <c r="U21" i="19"/>
  <c r="U16" i="19"/>
  <c r="U28" i="19"/>
  <c r="U20" i="19"/>
  <c r="U29" i="19"/>
  <c r="U33" i="19"/>
  <c r="U17" i="19"/>
  <c r="U23" i="19"/>
  <c r="U26" i="19"/>
  <c r="U27" i="19"/>
  <c r="U32" i="19"/>
  <c r="U8"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G37" i="19"/>
  <c r="R40" i="19"/>
  <c r="R39" i="19"/>
  <c r="I37" i="19"/>
  <c r="L20" i="20"/>
  <c r="J20" i="20"/>
  <c r="H20" i="20"/>
  <c r="F20" i="20"/>
  <c r="D20" i="20"/>
  <c r="B20" i="20"/>
  <c r="J5" i="20"/>
  <c r="H5" i="20"/>
  <c r="F5" i="20"/>
  <c r="D5" i="20"/>
  <c r="D23" i="19"/>
  <c r="D27" i="19"/>
  <c r="D14" i="19"/>
  <c r="D32" i="19"/>
  <c r="D33" i="19"/>
  <c r="D19" i="19"/>
  <c r="D11" i="19"/>
  <c r="D18" i="19"/>
  <c r="D30" i="19"/>
  <c r="D13" i="19"/>
  <c r="D9" i="19"/>
  <c r="D24" i="19"/>
  <c r="D10" i="19"/>
  <c r="D31" i="19"/>
  <c r="O13" i="27"/>
  <c r="O8" i="27" l="1"/>
  <c r="O26" i="27"/>
  <c r="O7" i="27"/>
  <c r="O11" i="27"/>
  <c r="O15" i="27"/>
  <c r="O16" i="27"/>
  <c r="O12" i="27"/>
  <c r="E15" i="27"/>
  <c r="O17" i="27"/>
  <c r="O31" i="27"/>
  <c r="O10" i="27"/>
  <c r="O14" i="27"/>
  <c r="O18" i="27"/>
  <c r="E16" i="27"/>
  <c r="N26" i="27"/>
  <c r="N14" i="27"/>
  <c r="I31" i="27"/>
  <c r="K31" i="27" s="1"/>
  <c r="E17" i="27"/>
  <c r="E9" i="27"/>
  <c r="I8" i="27"/>
  <c r="K8" i="27" s="1"/>
  <c r="I18" i="27"/>
  <c r="K18" i="27" s="1"/>
  <c r="I17" i="27"/>
  <c r="K17" i="27" s="1"/>
  <c r="I11" i="27"/>
  <c r="K11" i="27" s="1"/>
  <c r="E8" i="27"/>
  <c r="E18" i="27"/>
  <c r="E13" i="27"/>
  <c r="I16" i="27"/>
  <c r="K16" i="27" s="1"/>
  <c r="E12" i="27"/>
  <c r="E10" i="27"/>
  <c r="N27" i="27"/>
  <c r="N31" i="27"/>
  <c r="N16" i="27"/>
  <c r="N13" i="27"/>
  <c r="N7" i="27"/>
  <c r="N12" i="27"/>
  <c r="K27" i="27"/>
  <c r="N10" i="27"/>
  <c r="N15" i="27"/>
  <c r="N11" i="27"/>
  <c r="I10" i="27"/>
  <c r="K10" i="27" s="1"/>
  <c r="N8" i="27"/>
  <c r="I14" i="27"/>
  <c r="K14" i="27" s="1"/>
  <c r="E7" i="27"/>
  <c r="I26" i="27"/>
  <c r="K26" i="27" s="1"/>
  <c r="N18" i="27"/>
  <c r="I15" i="27"/>
  <c r="K15" i="27" s="1"/>
  <c r="N9" i="27"/>
  <c r="I7" i="27"/>
  <c r="K7" i="27" s="1"/>
  <c r="I9" i="27"/>
  <c r="K9" i="27" s="1"/>
  <c r="E11" i="27"/>
  <c r="I12" i="27"/>
  <c r="K12" i="27" s="1"/>
  <c r="I13" i="27"/>
  <c r="K13" i="27" s="1"/>
  <c r="N17" i="27"/>
  <c r="M15" i="27" l="1"/>
  <c r="L15" i="27"/>
  <c r="L9" i="27"/>
  <c r="M9" i="27"/>
  <c r="L14" i="27"/>
  <c r="M14" i="27"/>
  <c r="M8" i="27"/>
  <c r="L8" i="27"/>
  <c r="M11" i="27"/>
  <c r="M18" i="27"/>
  <c r="M7" i="27"/>
  <c r="M10" i="27"/>
  <c r="L31" i="27"/>
  <c r="L27" i="27"/>
  <c r="L12" i="27"/>
  <c r="L18" i="27"/>
  <c r="M17" i="27"/>
  <c r="L10" i="27"/>
  <c r="M12" i="27"/>
  <c r="L7" i="27"/>
  <c r="M31" i="27"/>
  <c r="M16" i="27"/>
  <c r="L17" i="27"/>
  <c r="M27" i="27"/>
  <c r="L16" i="27"/>
  <c r="L11" i="27"/>
  <c r="L13" i="27"/>
  <c r="M13" i="27"/>
  <c r="L26" i="27"/>
  <c r="M26" i="27"/>
</calcChain>
</file>

<file path=xl/sharedStrings.xml><?xml version="1.0" encoding="utf-8"?>
<sst xmlns="http://schemas.openxmlformats.org/spreadsheetml/2006/main" count="1117" uniqueCount="448">
  <si>
    <t>参加数</t>
  </si>
  <si>
    <t xml:space="preserve"> 艇 </t>
  </si>
  <si>
    <t>ＴＡのリスト（参照用）</t>
    <rPh sb="7" eb="10">
      <t>サンショウヨウ</t>
    </rPh>
    <phoneticPr fontId="5"/>
  </si>
  <si>
    <t>順位</t>
  </si>
  <si>
    <t>SAIL</t>
  </si>
  <si>
    <t>艇　　名</t>
  </si>
  <si>
    <t>R</t>
  </si>
  <si>
    <t>着順</t>
  </si>
  <si>
    <t>着時間</t>
  </si>
  <si>
    <t>ET</t>
  </si>
  <si>
    <t>TA</t>
    <phoneticPr fontId="5"/>
  </si>
  <si>
    <t>PN</t>
  </si>
  <si>
    <t>ＣＴ</t>
  </si>
  <si>
    <t>得点</t>
  </si>
  <si>
    <t>NO.</t>
  </si>
  <si>
    <t xml:space="preserve">m </t>
  </si>
  <si>
    <t>H：M：S</t>
  </si>
  <si>
    <t xml:space="preserve">S </t>
  </si>
  <si>
    <t xml:space="preserve">% </t>
  </si>
  <si>
    <t xml:space="preserve">Kt </t>
  </si>
  <si>
    <t>Ⅰ</t>
    <phoneticPr fontId="5"/>
  </si>
  <si>
    <t>Ⅲ</t>
    <phoneticPr fontId="5"/>
  </si>
  <si>
    <t>Ⅱ</t>
    <phoneticPr fontId="5"/>
  </si>
  <si>
    <t>SAIL No.</t>
    <phoneticPr fontId="5"/>
  </si>
  <si>
    <t>ふるたか</t>
  </si>
  <si>
    <t>さがみ</t>
  </si>
  <si>
    <t>ノアノア</t>
  </si>
  <si>
    <t>サ－モン4</t>
  </si>
  <si>
    <t>はやとり</t>
  </si>
  <si>
    <t>かまくら</t>
  </si>
  <si>
    <t>飛車角</t>
  </si>
  <si>
    <t>八丈</t>
  </si>
  <si>
    <t>Ｋ７</t>
  </si>
  <si>
    <t>チルデ</t>
  </si>
  <si>
    <t>波勝</t>
  </si>
  <si>
    <t>衣笠</t>
  </si>
  <si>
    <t>アズサ</t>
  </si>
  <si>
    <t>くろしお</t>
  </si>
  <si>
    <t>イクソラⅢ</t>
  </si>
  <si>
    <t>飛天</t>
  </si>
  <si>
    <t>アイデアル</t>
  </si>
  <si>
    <t>未央</t>
  </si>
  <si>
    <t>雪風</t>
  </si>
  <si>
    <t>シンシア</t>
  </si>
  <si>
    <t>アルファ</t>
  </si>
  <si>
    <t>FUHTA</t>
  </si>
  <si>
    <t>S/NM</t>
    <phoneticPr fontId="4"/>
  </si>
  <si>
    <t>初島</t>
    <rPh sb="0" eb="2">
      <t>ハツシマ</t>
    </rPh>
    <phoneticPr fontId="5"/>
  </si>
  <si>
    <t>Ａ</t>
    <phoneticPr fontId="4"/>
  </si>
  <si>
    <t>Ｅ</t>
    <phoneticPr fontId="4"/>
  </si>
  <si>
    <t>Ｆ</t>
    <phoneticPr fontId="4"/>
  </si>
  <si>
    <t>Ｄ</t>
    <phoneticPr fontId="4"/>
  </si>
  <si>
    <t>コース</t>
    <phoneticPr fontId="4"/>
  </si>
  <si>
    <t>月</t>
    <rPh sb="0" eb="1">
      <t>ツキ</t>
    </rPh>
    <phoneticPr fontId="4"/>
  </si>
  <si>
    <t>スタート</t>
    <phoneticPr fontId="4"/>
  </si>
  <si>
    <t xml:space="preserve"> (暫定) </t>
  </si>
  <si>
    <t>レース番号</t>
    <rPh sb="3" eb="5">
      <t>バンゴウ</t>
    </rPh>
    <phoneticPr fontId="4"/>
  </si>
  <si>
    <t>暫定版</t>
    <rPh sb="0" eb="2">
      <t>ザンテイ</t>
    </rPh>
    <rPh sb="2" eb="3">
      <t>ハン</t>
    </rPh>
    <phoneticPr fontId="4"/>
  </si>
  <si>
    <t>開催年</t>
    <rPh sb="0" eb="2">
      <t>カイサイ</t>
    </rPh>
    <rPh sb="2" eb="3">
      <t>ネン</t>
    </rPh>
    <phoneticPr fontId="4"/>
  </si>
  <si>
    <t>年</t>
    <rPh sb="0" eb="1">
      <t>ネン</t>
    </rPh>
    <phoneticPr fontId="4"/>
  </si>
  <si>
    <t>開催月</t>
    <rPh sb="0" eb="2">
      <t>カイサイ</t>
    </rPh>
    <rPh sb="2" eb="3">
      <t>ツキ</t>
    </rPh>
    <phoneticPr fontId="4"/>
  </si>
  <si>
    <t>レース番号</t>
    <rPh sb="3" eb="5">
      <t>バンゴウ</t>
    </rPh>
    <phoneticPr fontId="4"/>
  </si>
  <si>
    <t>熱海</t>
    <rPh sb="0" eb="2">
      <t>アタミ</t>
    </rPh>
    <phoneticPr fontId="5"/>
  </si>
  <si>
    <t>レース名</t>
    <rPh sb="3" eb="4">
      <t>メイ</t>
    </rPh>
    <phoneticPr fontId="4"/>
  </si>
  <si>
    <t>小網代フリートレース</t>
    <rPh sb="0" eb="1">
      <t>コ</t>
    </rPh>
    <rPh sb="1" eb="3">
      <t>アジロ</t>
    </rPh>
    <phoneticPr fontId="4"/>
  </si>
  <si>
    <t>ＴＡ</t>
    <phoneticPr fontId="4"/>
  </si>
  <si>
    <t>ＴＡ</t>
    <phoneticPr fontId="4"/>
  </si>
  <si>
    <t>Ⅰ</t>
    <phoneticPr fontId="4"/>
  </si>
  <si>
    <t>Ⅱ</t>
    <phoneticPr fontId="4"/>
  </si>
  <si>
    <t>Ⅲ</t>
    <phoneticPr fontId="4"/>
  </si>
  <si>
    <t>記  事</t>
    <phoneticPr fontId="4"/>
  </si>
  <si>
    <t>艇速</t>
    <rPh sb="0" eb="1">
      <t>テイ</t>
    </rPh>
    <rPh sb="1" eb="2">
      <t>ソク</t>
    </rPh>
    <phoneticPr fontId="4"/>
  </si>
  <si>
    <t>時刻</t>
    <rPh sb="0" eb="2">
      <t>ジコク</t>
    </rPh>
    <phoneticPr fontId="4"/>
  </si>
  <si>
    <t>コース・距離</t>
    <rPh sb="4" eb="6">
      <t>キョリ</t>
    </rPh>
    <phoneticPr fontId="4"/>
  </si>
  <si>
    <t>Ｅ</t>
  </si>
  <si>
    <t>距離(NM)</t>
    <rPh sb="0" eb="2">
      <t>キョリ</t>
    </rPh>
    <phoneticPr fontId="4"/>
  </si>
  <si>
    <t>得点（参照用）</t>
    <rPh sb="0" eb="2">
      <t>トクテン</t>
    </rPh>
    <rPh sb="3" eb="6">
      <t>サンショウヨウ</t>
    </rPh>
    <phoneticPr fontId="4"/>
  </si>
  <si>
    <t>得点</t>
    <rPh sb="0" eb="2">
      <t>トクテン</t>
    </rPh>
    <phoneticPr fontId="4"/>
  </si>
  <si>
    <t>MAX=20</t>
    <phoneticPr fontId="4"/>
  </si>
  <si>
    <t>MAX=30</t>
    <phoneticPr fontId="4"/>
  </si>
  <si>
    <t>MAX=40</t>
    <phoneticPr fontId="4"/>
  </si>
  <si>
    <t>MAX=40</t>
    <phoneticPr fontId="4"/>
  </si>
  <si>
    <t>MAX=20</t>
    <phoneticPr fontId="4"/>
  </si>
  <si>
    <t>開催日</t>
    <rPh sb="0" eb="3">
      <t>カイサイビ</t>
    </rPh>
    <phoneticPr fontId="4"/>
  </si>
  <si>
    <t>距離</t>
    <rPh sb="0" eb="2">
      <t>キョリ</t>
    </rPh>
    <phoneticPr fontId="4"/>
  </si>
  <si>
    <t>Ｄ短縮</t>
    <rPh sb="1" eb="3">
      <t>タンシュク</t>
    </rPh>
    <phoneticPr fontId="4"/>
  </si>
  <si>
    <t xml:space="preserve"> (確定) </t>
    <rPh sb="2" eb="4">
      <t>カクテイ</t>
    </rPh>
    <phoneticPr fontId="4"/>
  </si>
  <si>
    <t>コース</t>
  </si>
  <si>
    <t/>
  </si>
  <si>
    <t>SAIL　No.</t>
  </si>
  <si>
    <t>艇　名</t>
  </si>
  <si>
    <t>得点計</t>
  </si>
  <si>
    <t>皆勤賞</t>
    <rPh sb="0" eb="3">
      <t>カイキンショウ</t>
    </rPh>
    <phoneticPr fontId="5"/>
  </si>
  <si>
    <t>参加賞</t>
    <rPh sb="0" eb="3">
      <t>サンカショウ</t>
    </rPh>
    <phoneticPr fontId="5"/>
  </si>
  <si>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</si>
  <si>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</si>
  <si>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</si>
  <si>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</si>
  <si>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</si>
  <si>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</si>
  <si>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</si>
  <si>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</si>
  <si>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</si>
  <si>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</si>
  <si>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</si>
  <si>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</si>
  <si>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</si>
  <si>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</si>
  <si>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</si>
  <si>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</si>
  <si>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</si>
  <si>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</si>
  <si>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</si>
  <si>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</si>
  <si>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</si>
  <si>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</si>
  <si>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</si>
  <si>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</si>
  <si>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</si>
  <si>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5"/>
  </si>
  <si>
    <t>レース委員会　野村政司</t>
    <rPh sb="3" eb="6">
      <t>イインカイ</t>
    </rPh>
    <rPh sb="7" eb="9">
      <t>ノムラ</t>
    </rPh>
    <rPh sb="9" eb="11">
      <t>セイジ</t>
    </rPh>
    <phoneticPr fontId="5"/>
  </si>
  <si>
    <t>　優 勝 盾　</t>
  </si>
  <si>
    <t>1</t>
    <phoneticPr fontId="5"/>
  </si>
  <si>
    <t>5</t>
    <phoneticPr fontId="5"/>
  </si>
  <si>
    <t>11</t>
    <phoneticPr fontId="5"/>
  </si>
  <si>
    <t>12</t>
    <phoneticPr fontId="5"/>
  </si>
  <si>
    <t>20</t>
    <phoneticPr fontId="5"/>
  </si>
  <si>
    <t>Cはコミッティ担当、Bはコミッティボート提供。</t>
    <phoneticPr fontId="5"/>
  </si>
  <si>
    <t xml:space="preserve">　皆 勤 賞    </t>
    <phoneticPr fontId="5"/>
  </si>
  <si>
    <t xml:space="preserve">　参 加 賞  </t>
    <phoneticPr fontId="5"/>
  </si>
  <si>
    <t>小網代フリートレース　コミッティポイント</t>
    <phoneticPr fontId="5"/>
  </si>
  <si>
    <t>担当者名</t>
    <rPh sb="0" eb="2">
      <t>タントウ</t>
    </rPh>
    <rPh sb="2" eb="3">
      <t>シャ</t>
    </rPh>
    <rPh sb="3" eb="4">
      <t>メイ</t>
    </rPh>
    <phoneticPr fontId="5"/>
  </si>
  <si>
    <t>敬称略</t>
    <rPh sb="0" eb="2">
      <t>ケイショウ</t>
    </rPh>
    <rPh sb="2" eb="3">
      <t>リャク</t>
    </rPh>
    <phoneticPr fontId="5"/>
  </si>
  <si>
    <t>本部艇</t>
    <rPh sb="0" eb="2">
      <t>ホンブ</t>
    </rPh>
    <rPh sb="2" eb="3">
      <t>テイ</t>
    </rPh>
    <phoneticPr fontId="5"/>
  </si>
  <si>
    <t>Kマーク担当</t>
    <rPh sb="4" eb="6">
      <t>タントウ</t>
    </rPh>
    <phoneticPr fontId="5"/>
  </si>
  <si>
    <t>26</t>
  </si>
  <si>
    <t>27</t>
  </si>
  <si>
    <t>28</t>
  </si>
  <si>
    <t>29</t>
  </si>
  <si>
    <t>30</t>
  </si>
  <si>
    <t>KFR開催</t>
    <rPh sb="3" eb="5">
      <t>カイサイ</t>
    </rPh>
    <phoneticPr fontId="5"/>
  </si>
  <si>
    <t>日程</t>
  </si>
  <si>
    <t>Aマーク担当</t>
  </si>
  <si>
    <t>スタート</t>
    <phoneticPr fontId="5"/>
  </si>
  <si>
    <t>ケロニア</t>
  </si>
  <si>
    <t>注２）</t>
  </si>
  <si>
    <t>熱海ランデブーレース　</t>
  </si>
  <si>
    <t>熱海Ｒ
順位</t>
    <rPh sb="0" eb="2">
      <t>アタミ</t>
    </rPh>
    <rPh sb="4" eb="6">
      <t>ジュンイ</t>
    </rPh>
    <phoneticPr fontId="4"/>
  </si>
  <si>
    <t>K</t>
    <phoneticPr fontId="4"/>
  </si>
  <si>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</si>
  <si>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</si>
  <si>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</si>
  <si>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</si>
  <si>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</si>
  <si>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</si>
  <si>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</si>
  <si>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</si>
  <si>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</si>
  <si>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</si>
  <si>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</si>
  <si>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</si>
  <si>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</si>
  <si>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4"/>
  </si>
  <si>
    <t>上期</t>
    <rPh sb="0" eb="2">
      <t>カミキ</t>
    </rPh>
    <phoneticPr fontId="4"/>
  </si>
  <si>
    <t>後期</t>
    <rPh sb="0" eb="2">
      <t>コウキ</t>
    </rPh>
    <phoneticPr fontId="4"/>
  </si>
  <si>
    <t>得点計</t>
    <phoneticPr fontId="4"/>
  </si>
  <si>
    <t>年間得点計</t>
    <rPh sb="0" eb="2">
      <t>ネンカン</t>
    </rPh>
    <phoneticPr fontId="4"/>
  </si>
  <si>
    <t>＃494</t>
  </si>
  <si>
    <t>小網代ヨットクラブ レース委員会</t>
    <rPh sb="0" eb="1">
      <t>コ</t>
    </rPh>
    <rPh sb="1" eb="3">
      <t>アジロ</t>
    </rPh>
    <rPh sb="13" eb="16">
      <t>イインカイ</t>
    </rPh>
    <phoneticPr fontId="4"/>
  </si>
  <si>
    <t>実施日</t>
    <rPh sb="0" eb="2">
      <t>ジッシ</t>
    </rPh>
    <rPh sb="2" eb="3">
      <t>ビ</t>
    </rPh>
    <phoneticPr fontId="22"/>
  </si>
  <si>
    <t>本部艇</t>
    <rPh sb="0" eb="2">
      <t>ホンブ</t>
    </rPh>
    <rPh sb="2" eb="3">
      <t>テイ</t>
    </rPh>
    <phoneticPr fontId="4"/>
  </si>
  <si>
    <t>マーク担当</t>
    <rPh sb="3" eb="5">
      <t>タントウ</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</si>
  <si>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</si>
  <si>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</si>
  <si>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</si>
  <si>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</si>
  <si>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</si>
  <si>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</si>
  <si>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</si>
  <si>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</si>
  <si>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rPh sb="1" eb="2">
      <t>ガツ</t>
    </rPh>
    <phoneticPr fontId="4"/>
  </si>
  <si>
    <t>10月</t>
    <rPh sb="2" eb="3">
      <t>ガツ</t>
    </rPh>
    <phoneticPr fontId="4"/>
  </si>
  <si>
    <t>11月</t>
    <rPh sb="2" eb="3">
      <t>ガツ</t>
    </rPh>
    <phoneticPr fontId="4"/>
  </si>
  <si>
    <t>12月</t>
    <rPh sb="2" eb="3">
      <t>ガツ</t>
    </rPh>
    <phoneticPr fontId="4"/>
  </si>
  <si>
    <t>風速：xxxノット
風向：　
天気：
◇ｺﾐｯﾃｨ：</t>
    <phoneticPr fontId="4"/>
  </si>
  <si>
    <t>風向：　</t>
    <phoneticPr fontId="4"/>
  </si>
  <si>
    <t>天気：</t>
    <phoneticPr fontId="4"/>
  </si>
  <si>
    <t>次回
2015年８月16日 
◇ｺﾐｯﾃｨ：くろしお</t>
    <phoneticPr fontId="4"/>
  </si>
  <si>
    <t>ｺﾐｯﾃｨ：</t>
    <phoneticPr fontId="4"/>
  </si>
  <si>
    <t>2月</t>
  </si>
  <si>
    <t>3月</t>
  </si>
  <si>
    <t>4月</t>
  </si>
  <si>
    <t>5月</t>
  </si>
  <si>
    <t>6月</t>
  </si>
  <si>
    <t>7月</t>
  </si>
  <si>
    <t>8月</t>
  </si>
  <si>
    <t>9月</t>
  </si>
  <si>
    <t>10月</t>
  </si>
  <si>
    <t>11月</t>
  </si>
  <si>
    <t>12月</t>
  </si>
  <si>
    <t>ｺｰｽ：</t>
    <phoneticPr fontId="4"/>
  </si>
  <si>
    <t>E</t>
    <phoneticPr fontId="4"/>
  </si>
  <si>
    <t>　ステンドグラス楯</t>
    <phoneticPr fontId="4"/>
  </si>
  <si>
    <t xml:space="preserve">　各月トップ賞  </t>
    <rPh sb="1" eb="2">
      <t>カク</t>
    </rPh>
    <rPh sb="2" eb="3">
      <t>ツキ</t>
    </rPh>
    <phoneticPr fontId="5"/>
  </si>
  <si>
    <t>（半期全回出場した艇）</t>
    <phoneticPr fontId="4"/>
  </si>
  <si>
    <t>（半期2回以上出場した艇）</t>
    <phoneticPr fontId="4"/>
  </si>
  <si>
    <t>小網代フリートレース成績（確定）</t>
    <rPh sb="10" eb="12">
      <t>セイセキ</t>
    </rPh>
    <rPh sb="13" eb="15">
      <t>カクテイ</t>
    </rPh>
    <phoneticPr fontId="5"/>
  </si>
  <si>
    <t>C短縮</t>
    <rPh sb="1" eb="3">
      <t>タンシュク</t>
    </rPh>
    <phoneticPr fontId="4"/>
  </si>
  <si>
    <t>HAYATE</t>
  </si>
  <si>
    <t>SHARK X</t>
  </si>
  <si>
    <t>桜工</t>
  </si>
  <si>
    <t>ランカ</t>
  </si>
  <si>
    <t xml:space="preserve"> </t>
    <phoneticPr fontId="4"/>
  </si>
  <si>
    <t>皆勤賞</t>
    <rPh sb="0" eb="3">
      <t>カイキンショウ</t>
    </rPh>
    <phoneticPr fontId="4"/>
  </si>
  <si>
    <t>参加賞</t>
    <rPh sb="0" eb="3">
      <t>サンカショウ</t>
    </rPh>
    <phoneticPr fontId="4"/>
  </si>
  <si>
    <t>レース参加艇数</t>
    <rPh sb="3" eb="5">
      <t>サンカ</t>
    </rPh>
    <rPh sb="5" eb="6">
      <t>テイ</t>
    </rPh>
    <rPh sb="6" eb="7">
      <t>スウ</t>
    </rPh>
    <phoneticPr fontId="4"/>
  </si>
  <si>
    <t>Ｋ</t>
  </si>
  <si>
    <t>K</t>
    <phoneticPr fontId="4"/>
  </si>
  <si>
    <t>E(500記念)</t>
    <rPh sb="5" eb="7">
      <t>キネン</t>
    </rPh>
    <phoneticPr fontId="4"/>
  </si>
  <si>
    <t>艇　名</t>
    <rPh sb="0" eb="1">
      <t>テイ</t>
    </rPh>
    <rPh sb="2" eb="3">
      <t>ナ</t>
    </rPh>
    <phoneticPr fontId="4"/>
  </si>
  <si>
    <t>R（m）</t>
    <phoneticPr fontId="4"/>
  </si>
  <si>
    <t>TA Ⅰ</t>
    <phoneticPr fontId="4"/>
  </si>
  <si>
    <t>TA　Ⅱ</t>
    <phoneticPr fontId="4"/>
  </si>
  <si>
    <t>TA　Ⅲ</t>
    <phoneticPr fontId="4"/>
  </si>
  <si>
    <t>Miss Nippon Ⅷ</t>
  </si>
  <si>
    <t>EBB TIDE</t>
  </si>
  <si>
    <t>ｱﾚｷｻﾝﾄﾞﾗ</t>
  </si>
  <si>
    <t>ｲｴﾛｰﾏｼﾞｯｸ</t>
  </si>
  <si>
    <t>ﾌﾙｰﾄﾞﾘｽⅦ</t>
  </si>
  <si>
    <t>ﾌﾞﾙｰﾘﾎﾞﾝ</t>
  </si>
  <si>
    <t>ﾌｪﾆｯｸｽ</t>
  </si>
  <si>
    <t>ﾌﾟﾗｳﾄﾞﾒｱﾘｰ</t>
  </si>
  <si>
    <t>Ⅱ</t>
  </si>
  <si>
    <t xml:space="preserve"> 秒/ﾏｲﾙ</t>
  </si>
  <si>
    <t>RATING</t>
    <phoneticPr fontId="4"/>
  </si>
  <si>
    <t>H</t>
  </si>
  <si>
    <t>H</t>
    <phoneticPr fontId="4"/>
  </si>
  <si>
    <t>J</t>
    <phoneticPr fontId="4"/>
  </si>
  <si>
    <t>K</t>
    <phoneticPr fontId="4"/>
  </si>
  <si>
    <t>＃525</t>
  </si>
  <si>
    <t>＃526</t>
  </si>
  <si>
    <t>＃527</t>
  </si>
  <si>
    <t>＃528</t>
  </si>
  <si>
    <t>＃529</t>
  </si>
  <si>
    <t>＃530</t>
  </si>
  <si>
    <t>＃531</t>
  </si>
  <si>
    <t>＃532</t>
  </si>
  <si>
    <t>＃533</t>
  </si>
  <si>
    <t>＃534</t>
  </si>
  <si>
    <t>＃535</t>
  </si>
  <si>
    <t>＃536</t>
  </si>
  <si>
    <t>E</t>
    <phoneticPr fontId="4"/>
  </si>
  <si>
    <t>H</t>
    <phoneticPr fontId="4"/>
  </si>
  <si>
    <t>初島</t>
    <rPh sb="0" eb="2">
      <t>ハツシマ</t>
    </rPh>
    <phoneticPr fontId="4"/>
  </si>
  <si>
    <t>FまたはA</t>
    <phoneticPr fontId="4"/>
  </si>
  <si>
    <t>E</t>
    <phoneticPr fontId="4"/>
  </si>
  <si>
    <t>H</t>
    <phoneticPr fontId="4"/>
  </si>
  <si>
    <t>アルファ</t>
    <phoneticPr fontId="41"/>
  </si>
  <si>
    <t>リミット</t>
    <phoneticPr fontId="4"/>
  </si>
  <si>
    <t>得点</t>
    <rPh sb="0" eb="2">
      <t>トクテン</t>
    </rPh>
    <phoneticPr fontId="4"/>
  </si>
  <si>
    <t>MAX=20</t>
    <phoneticPr fontId="4"/>
  </si>
  <si>
    <t>VEGA</t>
  </si>
  <si>
    <t>ﾈﾌﾟﾁｭｰﾝXⅡ</t>
  </si>
  <si>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</si>
  <si>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</si>
  <si>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5"/>
  </si>
  <si>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5"/>
  </si>
  <si>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5"/>
  </si>
  <si>
    <t>※2018.8.16レーティング反映</t>
    <rPh sb="16" eb="18">
      <t>ハンエイ</t>
    </rPh>
    <phoneticPr fontId="4"/>
  </si>
  <si>
    <t>はやとり</t>
    <phoneticPr fontId="41"/>
  </si>
  <si>
    <t>小網代フリートレース年間成績（確定）</t>
    <rPh sb="10" eb="12">
      <t>ネンカン</t>
    </rPh>
    <rPh sb="12" eb="14">
      <t>セイセキ</t>
    </rPh>
    <rPh sb="15" eb="17">
      <t>カクテイ</t>
    </rPh>
    <phoneticPr fontId="5"/>
  </si>
  <si>
    <t>2019年</t>
    <rPh sb="4" eb="5">
      <t>ネン</t>
    </rPh>
    <phoneticPr fontId="4"/>
  </si>
  <si>
    <t>＃525</t>
    <phoneticPr fontId="4"/>
  </si>
  <si>
    <t>＃537</t>
  </si>
  <si>
    <t>＃538</t>
  </si>
  <si>
    <t>＃539</t>
  </si>
  <si>
    <t>＃540</t>
  </si>
  <si>
    <t>＃541</t>
  </si>
  <si>
    <t>＃542</t>
  </si>
  <si>
    <t>＃543</t>
  </si>
  <si>
    <t>＃544</t>
  </si>
  <si>
    <t>＃545</t>
  </si>
  <si>
    <t>＃546</t>
  </si>
  <si>
    <t>＃547</t>
  </si>
  <si>
    <t>＃548</t>
  </si>
  <si>
    <t>＃549</t>
  </si>
  <si>
    <t>KFRランデブーレース</t>
    <phoneticPr fontId="4"/>
  </si>
  <si>
    <t>Eまたは合同</t>
    <rPh sb="4" eb="6">
      <t>ゴウドウ</t>
    </rPh>
    <phoneticPr fontId="4"/>
  </si>
  <si>
    <t>DまたはE</t>
    <phoneticPr fontId="4"/>
  </si>
  <si>
    <t>KFRランデブー</t>
    <phoneticPr fontId="4"/>
  </si>
  <si>
    <t>JまたはH</t>
    <phoneticPr fontId="4"/>
  </si>
  <si>
    <t>2019公示 帆走指示書より</t>
    <rPh sb="4" eb="6">
      <t>コウジ</t>
    </rPh>
    <rPh sb="7" eb="9">
      <t>ハンソウ</t>
    </rPh>
    <rPh sb="9" eb="12">
      <t>シジショ</t>
    </rPh>
    <phoneticPr fontId="4"/>
  </si>
  <si>
    <t>合同</t>
    <rPh sb="0" eb="2">
      <t>ゴウドウ</t>
    </rPh>
    <phoneticPr fontId="4"/>
  </si>
  <si>
    <t>2019年度 前期</t>
    <rPh sb="7" eb="9">
      <t>ゼンキ</t>
    </rPh>
    <phoneticPr fontId="5"/>
  </si>
  <si>
    <t>2019年1月現在</t>
    <rPh sb="4" eb="5">
      <t>ネン</t>
    </rPh>
    <rPh sb="6" eb="7">
      <t>ガツ</t>
    </rPh>
    <rPh sb="7" eb="9">
      <t>ゲンザイ</t>
    </rPh>
    <phoneticPr fontId="5"/>
  </si>
  <si>
    <t>2019年間総合</t>
    <rPh sb="4" eb="6">
      <t>ネンカン</t>
    </rPh>
    <rPh sb="6" eb="8">
      <t>ソウゴウ</t>
    </rPh>
    <phoneticPr fontId="5"/>
  </si>
  <si>
    <t>各艇データ  小網代レーティング2019</t>
    <rPh sb="0" eb="1">
      <t>カク</t>
    </rPh>
    <rPh sb="1" eb="2">
      <t>テイ</t>
    </rPh>
    <rPh sb="7" eb="10">
      <t>コアジロ</t>
    </rPh>
    <phoneticPr fontId="5"/>
  </si>
  <si>
    <t>Ｄ</t>
  </si>
  <si>
    <t>J</t>
  </si>
  <si>
    <t>2019年KFRコミッティー担当一覧</t>
    <rPh sb="4" eb="5">
      <t>ネン</t>
    </rPh>
    <rPh sb="14" eb="16">
      <t>タントウ</t>
    </rPh>
    <rPh sb="16" eb="18">
      <t>イチラン</t>
    </rPh>
    <phoneticPr fontId="4"/>
  </si>
  <si>
    <t>フェニックス</t>
    <phoneticPr fontId="4"/>
  </si>
  <si>
    <t>かまくら</t>
    <phoneticPr fontId="4"/>
  </si>
  <si>
    <t>波勝</t>
    <rPh sb="0" eb="2">
      <t>ハガチ</t>
    </rPh>
    <phoneticPr fontId="4"/>
  </si>
  <si>
    <t>ケロニア</t>
    <phoneticPr fontId="4"/>
  </si>
  <si>
    <t>飛車角</t>
    <rPh sb="0" eb="3">
      <t>ヒシャカク</t>
    </rPh>
    <phoneticPr fontId="4"/>
  </si>
  <si>
    <t>ふるたか</t>
    <phoneticPr fontId="4"/>
  </si>
  <si>
    <t>衣笠</t>
    <rPh sb="0" eb="2">
      <t>キヌガサ</t>
    </rPh>
    <phoneticPr fontId="4"/>
  </si>
  <si>
    <t>ネプチューン</t>
    <phoneticPr fontId="4"/>
  </si>
  <si>
    <t>未央</t>
    <rPh sb="0" eb="2">
      <t>ミオ</t>
    </rPh>
    <phoneticPr fontId="4"/>
  </si>
  <si>
    <t>別途</t>
    <rPh sb="0" eb="2">
      <t>ベット</t>
    </rPh>
    <phoneticPr fontId="4"/>
  </si>
  <si>
    <t>はやとり</t>
    <phoneticPr fontId="4"/>
  </si>
  <si>
    <t>はやとり</t>
    <phoneticPr fontId="4"/>
  </si>
  <si>
    <t>遠藤</t>
    <rPh sb="0" eb="2">
      <t>エンドウ</t>
    </rPh>
    <phoneticPr fontId="4"/>
  </si>
  <si>
    <t>野村晋司</t>
    <rPh sb="0" eb="2">
      <t>ノムラ</t>
    </rPh>
    <rPh sb="2" eb="4">
      <t>シンジ</t>
    </rPh>
    <phoneticPr fontId="4"/>
  </si>
  <si>
    <t>平賀</t>
    <rPh sb="0" eb="2">
      <t>ヒラガ</t>
    </rPh>
    <phoneticPr fontId="4"/>
  </si>
  <si>
    <t>かまくら</t>
    <phoneticPr fontId="4"/>
  </si>
  <si>
    <t>くろしお</t>
    <phoneticPr fontId="4"/>
  </si>
  <si>
    <t>テティス</t>
    <phoneticPr fontId="4"/>
  </si>
  <si>
    <t>Ms.M</t>
  </si>
  <si>
    <t>仰秀</t>
  </si>
  <si>
    <t>児玉</t>
    <rPh sb="0" eb="2">
      <t>コダマ</t>
    </rPh>
    <phoneticPr fontId="4"/>
  </si>
  <si>
    <t>テティス</t>
    <phoneticPr fontId="4"/>
  </si>
  <si>
    <t>里吉</t>
    <rPh sb="0" eb="2">
      <t>サトヨシ</t>
    </rPh>
    <phoneticPr fontId="4"/>
  </si>
  <si>
    <t>平賀</t>
    <rPh sb="0" eb="2">
      <t>ヒラガ</t>
    </rPh>
    <phoneticPr fontId="4"/>
  </si>
  <si>
    <t>かまくら</t>
    <phoneticPr fontId="4"/>
  </si>
  <si>
    <t>伊藤</t>
    <rPh sb="0" eb="2">
      <t>イトウ</t>
    </rPh>
    <phoneticPr fontId="4"/>
  </si>
  <si>
    <t>福島</t>
    <rPh sb="0" eb="2">
      <t>フクシマ</t>
    </rPh>
    <phoneticPr fontId="4"/>
  </si>
  <si>
    <t>くろしお</t>
    <phoneticPr fontId="4"/>
  </si>
  <si>
    <t>月居</t>
    <rPh sb="0" eb="1">
      <t>ツキ</t>
    </rPh>
    <rPh sb="1" eb="2">
      <t>イ</t>
    </rPh>
    <phoneticPr fontId="4"/>
  </si>
  <si>
    <t>フェニックス</t>
    <phoneticPr fontId="4"/>
  </si>
  <si>
    <t>タカカ</t>
    <phoneticPr fontId="4"/>
  </si>
  <si>
    <t>中谷</t>
    <rPh sb="0" eb="2">
      <t>ナカタニ</t>
    </rPh>
    <phoneticPr fontId="4"/>
  </si>
  <si>
    <t>岸田</t>
    <rPh sb="0" eb="2">
      <t>キシダ</t>
    </rPh>
    <phoneticPr fontId="4"/>
  </si>
  <si>
    <t>高橋</t>
    <rPh sb="0" eb="2">
      <t>タカハシ</t>
    </rPh>
    <phoneticPr fontId="4"/>
  </si>
  <si>
    <t>平賀</t>
    <rPh sb="0" eb="2">
      <t>ヒラガ</t>
    </rPh>
    <phoneticPr fontId="4"/>
  </si>
  <si>
    <t>かまくら</t>
    <phoneticPr fontId="4"/>
  </si>
  <si>
    <t>Ⅰ</t>
  </si>
  <si>
    <t>かまくら</t>
    <phoneticPr fontId="4"/>
  </si>
  <si>
    <t>かまくら</t>
    <phoneticPr fontId="4"/>
  </si>
  <si>
    <t>高梨</t>
    <rPh sb="0" eb="2">
      <t>タカナシ</t>
    </rPh>
    <phoneticPr fontId="4"/>
  </si>
  <si>
    <t>菅沼</t>
    <rPh sb="0" eb="2">
      <t>スガヌマ</t>
    </rPh>
    <phoneticPr fontId="4"/>
  </si>
  <si>
    <t>波勝</t>
    <rPh sb="0" eb="2">
      <t>ハガチ</t>
    </rPh>
    <phoneticPr fontId="4"/>
  </si>
  <si>
    <t>ケロニア</t>
    <phoneticPr fontId="4"/>
  </si>
  <si>
    <t>吉岡</t>
    <rPh sb="0" eb="2">
      <t>ヨシオカ</t>
    </rPh>
    <phoneticPr fontId="4"/>
  </si>
  <si>
    <t>石原</t>
    <rPh sb="0" eb="2">
      <t>イシハラ</t>
    </rPh>
    <phoneticPr fontId="4"/>
  </si>
  <si>
    <t>冨士本</t>
    <rPh sb="0" eb="3">
      <t>フジモト</t>
    </rPh>
    <phoneticPr fontId="4"/>
  </si>
  <si>
    <t>20190520</t>
    <phoneticPr fontId="4"/>
  </si>
  <si>
    <t>原</t>
    <rPh sb="0" eb="1">
      <t>ハラ</t>
    </rPh>
    <phoneticPr fontId="4"/>
  </si>
  <si>
    <t>大谷</t>
    <rPh sb="0" eb="2">
      <t>オオタニ</t>
    </rPh>
    <phoneticPr fontId="4"/>
  </si>
  <si>
    <t>三好</t>
    <rPh sb="0" eb="2">
      <t>ミヨシ</t>
    </rPh>
    <phoneticPr fontId="4"/>
  </si>
  <si>
    <t>ケロニア</t>
    <phoneticPr fontId="4"/>
  </si>
  <si>
    <t>ケロニア</t>
    <phoneticPr fontId="4"/>
  </si>
  <si>
    <t>Ａ</t>
  </si>
  <si>
    <t>ふるたか</t>
    <phoneticPr fontId="4"/>
  </si>
  <si>
    <t>2  ～ 3  kt</t>
    <phoneticPr fontId="4"/>
  </si>
  <si>
    <t>曇り</t>
    <rPh sb="0" eb="1">
      <t>クモ</t>
    </rPh>
    <phoneticPr fontId="41"/>
  </si>
  <si>
    <t>飛車角</t>
    <rPh sb="0" eb="3">
      <t>ヒシャカク</t>
    </rPh>
    <phoneticPr fontId="4"/>
  </si>
  <si>
    <t>さがみ</t>
    <phoneticPr fontId="4"/>
  </si>
  <si>
    <t>飯島</t>
    <rPh sb="0" eb="2">
      <t>イイジマ</t>
    </rPh>
    <phoneticPr fontId="4"/>
  </si>
  <si>
    <t>三浦</t>
    <rPh sb="0" eb="2">
      <t>ミウラ</t>
    </rPh>
    <phoneticPr fontId="4"/>
  </si>
  <si>
    <t>宮井</t>
    <rPh sb="0" eb="2">
      <t>ミヤイ</t>
    </rPh>
    <phoneticPr fontId="4"/>
  </si>
  <si>
    <t>浦野</t>
    <rPh sb="0" eb="2">
      <t>ウラノ</t>
    </rPh>
    <phoneticPr fontId="4"/>
  </si>
  <si>
    <t>アイデアル</t>
    <phoneticPr fontId="4"/>
  </si>
  <si>
    <t>KFRランデブ⁰</t>
    <phoneticPr fontId="4"/>
  </si>
  <si>
    <t>小田原</t>
    <rPh sb="0" eb="3">
      <t>オダワラ</t>
    </rPh>
    <phoneticPr fontId="4"/>
  </si>
  <si>
    <t>ふるたか</t>
    <phoneticPr fontId="4"/>
  </si>
  <si>
    <t>平田</t>
    <rPh sb="0" eb="2">
      <t>ヒラタ</t>
    </rPh>
    <phoneticPr fontId="4"/>
  </si>
  <si>
    <t>ふるたか</t>
    <phoneticPr fontId="4"/>
  </si>
  <si>
    <t>2019年5月20日</t>
    <phoneticPr fontId="4"/>
  </si>
  <si>
    <t>北東～南東</t>
    <rPh sb="0" eb="2">
      <t>ホクトウ</t>
    </rPh>
    <rPh sb="3" eb="4">
      <t>ミナミ</t>
    </rPh>
    <rPh sb="4" eb="5">
      <t>ヒガシ</t>
    </rPh>
    <phoneticPr fontId="41"/>
  </si>
  <si>
    <t>コミッティ</t>
    <phoneticPr fontId="41"/>
  </si>
  <si>
    <t xml:space="preserve">【レースコメント】9:30のスタートコール前、スタート海面に風が無くどの艇もノロノロとスタート、ジャストスタートを切ったSHARK X、かまくらが飛び出し、はやとり、アイデアルがそれに続く。赤白ブイを回航し北東の弱い風の中での神経戦、南に振れ始めた風の中で最初にタックしたのが大正解で、その後スピンアップ、定置をかわせるドンピシャの位置だった。岸よりのネプチューンのスピードも良くドキドキしながら定置をクリア。風、潮ともにはやとりに味方した。気づけば右前方にAマークボート（スプリットオブトウキョウ）を発見しフィニッシュした。ファーストホーム＆修正1位だったのが何十年ぶりというとてもうれしい結果だった。運営の皆様ありがとうございました。（はやとり 野村）
【レース委員会より】
Aコースで実施しました。なお微風のためコース短縮を行い、Aマークにてフィニッシュ時刻を記録しました。
</t>
    <rPh sb="27" eb="29">
      <t>カイメン</t>
    </rPh>
    <rPh sb="30" eb="31">
      <t>カゼ</t>
    </rPh>
    <rPh sb="32" eb="33">
      <t>ナ</t>
    </rPh>
    <rPh sb="36" eb="37">
      <t>テイ</t>
    </rPh>
    <rPh sb="57" eb="58">
      <t>キ</t>
    </rPh>
    <rPh sb="73" eb="74">
      <t>ト</t>
    </rPh>
    <rPh sb="75" eb="76">
      <t>ダ</t>
    </rPh>
    <rPh sb="92" eb="93">
      <t>ツヅ</t>
    </rPh>
    <rPh sb="103" eb="105">
      <t>ホクトウ</t>
    </rPh>
    <rPh sb="108" eb="109">
      <t>カゼ</t>
    </rPh>
    <rPh sb="110" eb="111">
      <t>ナカ</t>
    </rPh>
    <rPh sb="113" eb="116">
      <t>シンケイセン</t>
    </rPh>
    <rPh sb="221" eb="222">
      <t>キ</t>
    </rPh>
    <rPh sb="225" eb="226">
      <t>ミギ</t>
    </rPh>
    <rPh sb="226" eb="228">
      <t>ゼンポウ</t>
    </rPh>
    <rPh sb="251" eb="253">
      <t>ハッケン</t>
    </rPh>
    <rPh sb="272" eb="274">
      <t>シュウセイ</t>
    </rPh>
    <rPh sb="275" eb="276">
      <t>イ</t>
    </rPh>
    <rPh sb="281" eb="284">
      <t>ナンジュウネン</t>
    </rPh>
    <rPh sb="296" eb="298">
      <t>ケッカ</t>
    </rPh>
    <rPh sb="302" eb="304">
      <t>ウンエイ</t>
    </rPh>
    <rPh sb="305" eb="307">
      <t>ミナサマ</t>
    </rPh>
    <rPh sb="325" eb="327">
      <t>ノムラ</t>
    </rPh>
    <rPh sb="345" eb="347">
      <t>ジッシ</t>
    </rPh>
    <rPh sb="354" eb="356">
      <t>ビフウ</t>
    </rPh>
    <rPh sb="362" eb="364">
      <t>タンシュク</t>
    </rPh>
    <rPh sb="365" eb="366">
      <t>オコナ</t>
    </rPh>
    <rPh sb="380" eb="382">
      <t>ジコク</t>
    </rPh>
    <rPh sb="383" eb="385">
      <t>キロク</t>
    </rPh>
    <phoneticPr fontId="4"/>
  </si>
  <si>
    <t xml:space="preserve">  2～ 8 kt</t>
    <phoneticPr fontId="4"/>
  </si>
  <si>
    <t>北東～南西</t>
    <rPh sb="0" eb="2">
      <t>ホクトウ</t>
    </rPh>
    <rPh sb="3" eb="5">
      <t>ナンセイ</t>
    </rPh>
    <phoneticPr fontId="74"/>
  </si>
  <si>
    <t>晴れ</t>
    <rPh sb="0" eb="1">
      <t>ハ</t>
    </rPh>
    <phoneticPr fontId="74"/>
  </si>
  <si>
    <t>鈴木</t>
    <rPh sb="0" eb="2">
      <t>スズキ</t>
    </rPh>
    <phoneticPr fontId="4"/>
  </si>
  <si>
    <t>衣笠</t>
    <rPh sb="0" eb="2">
      <t>キヌガサ</t>
    </rPh>
    <phoneticPr fontId="4"/>
  </si>
  <si>
    <t>国方</t>
  </si>
  <si>
    <t>長江</t>
  </si>
  <si>
    <t>中西</t>
  </si>
  <si>
    <t>コミッティ</t>
    <phoneticPr fontId="74"/>
  </si>
  <si>
    <t xml:space="preserve">【レースコメント】前日までの強風がぱったりと落ちた日曜日、若手がお休み、暇な年寄り４人のシャークには好都合の天候となりました。赤白ブイは5-6番手で回りゆっくりスピンアップ。アルファさんがうまく落として岸寄り、沖側のカマクラさんと走り比べ。岸のアルファさんとテティスさんがだいぶ離れてしまって気になっていた時に南振れのお告げがあって早めのジャイブ。アルファさんに近づいたところで南が入り始めてコースチェンジが間に合ったことになります。ラッキーシフトで南西沖ブイを回航VMGをチェックしながら引き離されないように赤白ブイへ、ジブアップの準備をしていたら、先行のアルファさんそのままスピンじゃん！こちらも横山バウマンの華麗なジャイブでスピン回航無事フィニッシュできました。いつも楽しいレースをありがとうございます。（SHARK X　関根）
【レース委員会より】
軽風域のため、DコースではなくEコースにて実施いたしました。
</t>
    <rPh sb="379" eb="380">
      <t>ケイ</t>
    </rPh>
    <rPh sb="380" eb="381">
      <t>フウ</t>
    </rPh>
    <rPh sb="381" eb="382">
      <t>イキ</t>
    </rPh>
    <rPh sb="400" eb="402">
      <t>ジッシ</t>
    </rPh>
    <phoneticPr fontId="4"/>
  </si>
  <si>
    <t>スタート時間</t>
    <phoneticPr fontId="74"/>
  </si>
  <si>
    <t>着時間</t>
    <rPh sb="0" eb="1">
      <t>チャク</t>
    </rPh>
    <phoneticPr fontId="74"/>
  </si>
  <si>
    <t>RET</t>
  </si>
  <si>
    <t>初順</t>
    <rPh sb="0" eb="1">
      <t>ハツ</t>
    </rPh>
    <phoneticPr fontId="74"/>
  </si>
  <si>
    <t>スタート時間表
による</t>
    <rPh sb="4" eb="6">
      <t>ジカン</t>
    </rPh>
    <rPh sb="6" eb="7">
      <t>ヒョウ</t>
    </rPh>
    <phoneticPr fontId="4"/>
  </si>
  <si>
    <t>ﾄｯﾌﾟとの差</t>
  </si>
  <si>
    <t>S/NM</t>
  </si>
  <si>
    <t xml:space="preserve"> 0 ～2 kt</t>
    <phoneticPr fontId="4"/>
  </si>
  <si>
    <t>晴れ</t>
    <rPh sb="0" eb="1">
      <t>ハ</t>
    </rPh>
    <phoneticPr fontId="74"/>
  </si>
  <si>
    <t>北～東</t>
    <rPh sb="0" eb="1">
      <t>キタ</t>
    </rPh>
    <rPh sb="2" eb="3">
      <t>ヒガシ</t>
    </rPh>
    <phoneticPr fontId="74"/>
  </si>
  <si>
    <t xml:space="preserve">【レース委員会より】
風域TAⅠにて実施しました。
スタート時間帯から、熱海付近に風がなく艇速を確保できる艇が無かった。リタイア申告が相次ぎ、結果的に完走した艇はいなかった。
</t>
    <rPh sb="4" eb="7">
      <t>イインカイ</t>
    </rPh>
    <rPh sb="11" eb="12">
      <t>フウ</t>
    </rPh>
    <rPh sb="12" eb="13">
      <t>イキ</t>
    </rPh>
    <rPh sb="18" eb="20">
      <t>ジッシ</t>
    </rPh>
    <rPh sb="30" eb="33">
      <t>ジカンタイ</t>
    </rPh>
    <rPh sb="36" eb="38">
      <t>アタミ</t>
    </rPh>
    <rPh sb="38" eb="40">
      <t>フキン</t>
    </rPh>
    <rPh sb="41" eb="42">
      <t>カゼ</t>
    </rPh>
    <rPh sb="45" eb="46">
      <t>テイ</t>
    </rPh>
    <rPh sb="46" eb="47">
      <t>ソク</t>
    </rPh>
    <rPh sb="48" eb="50">
      <t>カクホ</t>
    </rPh>
    <rPh sb="53" eb="54">
      <t>テイ</t>
    </rPh>
    <rPh sb="55" eb="56">
      <t>ナ</t>
    </rPh>
    <rPh sb="67" eb="69">
      <t>アイツ</t>
    </rPh>
    <rPh sb="71" eb="74">
      <t>ケッカテキ</t>
    </rPh>
    <rPh sb="75" eb="77">
      <t>カンソウ</t>
    </rPh>
    <rPh sb="79" eb="80">
      <t>テイ</t>
    </rPh>
    <phoneticPr fontId="4"/>
  </si>
  <si>
    <t>コミッティ</t>
    <phoneticPr fontId="74"/>
  </si>
  <si>
    <t>北～北東</t>
    <rPh sb="0" eb="1">
      <t>キタ</t>
    </rPh>
    <rPh sb="2" eb="4">
      <t>ホクトウ</t>
    </rPh>
    <phoneticPr fontId="74"/>
  </si>
  <si>
    <t>晴れ</t>
    <rPh sb="0" eb="1">
      <t>ハ</t>
    </rPh>
    <phoneticPr fontId="74"/>
  </si>
  <si>
    <t>15～20 kt</t>
    <phoneticPr fontId="4"/>
  </si>
  <si>
    <t xml:space="preserve">【レースコメント】
晴れ、16～20ktの北東風。クルーウェイトが不足気味のため、予備アンカー、使わないセイル、食器、水、食料等を積んだまま出港。No３ジェノアを上げスターボードのリーチでスタート。赤白ブイはアイデアルを先頭に一団となって回航しスピンアップ。7～８ktの艇速に加え0.3kt程度の追潮で快調に走る。南西ブイをアルファ、シャークXの順で回航し、ポートタックのクローズホールドで城ヶ島に向かう。三崎港沖より逆潮の中数度のタックを繰り返して赤白ブイにたどり着いたが、潮流が強く赤白ブイに危なくぶつかりそうになりながら回航しフィニッシュラインに向かった。久しぶりに順風下の爽快なレースだった。コミィッティーの方々ありがとうございました。アルファ　伊藤彰男
【レース委員会より】
午後から風が吹きあがる予報となったため、DコースではなくEコースを選択しました。
</t>
    <rPh sb="376" eb="378">
      <t>センタク</t>
    </rPh>
    <phoneticPr fontId="4"/>
  </si>
  <si>
    <t>北東</t>
    <rPh sb="0" eb="2">
      <t>ホクトウ</t>
    </rPh>
    <phoneticPr fontId="74"/>
  </si>
  <si>
    <t>晴れ</t>
    <rPh sb="0" eb="1">
      <t>ハ</t>
    </rPh>
    <phoneticPr fontId="74"/>
  </si>
  <si>
    <t>10～17 kt</t>
    <phoneticPr fontId="4"/>
  </si>
  <si>
    <t>小川</t>
    <rPh sb="0" eb="2">
      <t>オガワ</t>
    </rPh>
    <phoneticPr fontId="4"/>
  </si>
  <si>
    <t>ネプチューン</t>
  </si>
  <si>
    <t>清水</t>
    <rPh sb="0" eb="2">
      <t>シミズ</t>
    </rPh>
    <phoneticPr fontId="4"/>
  </si>
  <si>
    <t>未央</t>
    <rPh sb="0" eb="2">
      <t>ミオ</t>
    </rPh>
    <phoneticPr fontId="4"/>
  </si>
  <si>
    <t>アイデアル</t>
    <phoneticPr fontId="4"/>
  </si>
  <si>
    <t>原田</t>
    <rPh sb="0" eb="2">
      <t>ハラダ</t>
    </rPh>
    <phoneticPr fontId="4"/>
  </si>
  <si>
    <t>斉藤</t>
    <rPh sb="0" eb="2">
      <t>サイトウ</t>
    </rPh>
    <phoneticPr fontId="4"/>
  </si>
  <si>
    <t>平塚</t>
    <rPh sb="0" eb="2">
      <t>ヒラツカ</t>
    </rPh>
    <phoneticPr fontId="4"/>
  </si>
  <si>
    <t>アイデアル</t>
    <phoneticPr fontId="4"/>
  </si>
  <si>
    <t>【レース委員会より】10月はヨコヤマカップとKFRの合同レースとなり、総計20艇のレース実施となった。
【レースコメント】スタート海面はKFR・横山カップ参加艇に加え、30分前スタートの諸磯YCレース艇が集まり、北風25Kt以上のブローがピークとなった中でのマニューバリングは相当ビジーな状況だった。テティスでは若手バウマンのF君がデッキ上のシートに足を取られて負傷し戦線離脱、急きょ高齢バウマンに交代した。スタート後はアルファと横山デザイン艇群が先頭集団を形成、14Ktに落ちた風の中をポートタックのスピンランで南西ブイに向かう。風は更に落ちたが追い潮が強く直ぐに南西ブイに到達。帰路、大方の艇は東への振れを意識して城ケ島方向へ向かい、岸寄りコースを選択する。テティスは回航直後にメインハリヤードを切断するもメインスルを降ろし、予備ハリヤードで戦線復帰、先行艇を追いかけた。勝負は帰路のクローズの走り、風の振れと向かい潮へのコース取りがポイントになった。（テティス 児玉）</t>
    <rPh sb="12" eb="13">
      <t>ガツ</t>
    </rPh>
    <rPh sb="26" eb="28">
      <t>ゴウドウ</t>
    </rPh>
    <rPh sb="35" eb="36">
      <t>ソウ</t>
    </rPh>
    <rPh sb="36" eb="37">
      <t>ケイ</t>
    </rPh>
    <rPh sb="39" eb="40">
      <t>テイ</t>
    </rPh>
    <rPh sb="44" eb="46">
      <t>ジッシ</t>
    </rPh>
    <rPh sb="434" eb="436">
      <t>コダマ</t>
    </rPh>
    <phoneticPr fontId="4"/>
  </si>
  <si>
    <t>香</t>
  </si>
  <si>
    <t>旧レーティング</t>
    <rPh sb="0" eb="1">
      <t>キュウ</t>
    </rPh>
    <phoneticPr fontId="74"/>
  </si>
  <si>
    <t>20191110</t>
    <phoneticPr fontId="4"/>
  </si>
  <si>
    <t>DNF</t>
    <phoneticPr fontId="74"/>
  </si>
  <si>
    <t xml:space="preserve"> 3～5   kt</t>
    <phoneticPr fontId="4"/>
  </si>
  <si>
    <t>北東</t>
    <rPh sb="0" eb="2">
      <t>ホクトウ</t>
    </rPh>
    <phoneticPr fontId="74"/>
  </si>
  <si>
    <t>晴れ</t>
    <rPh sb="0" eb="1">
      <t>ハ</t>
    </rPh>
    <phoneticPr fontId="74"/>
  </si>
  <si>
    <t>RET</t>
    <phoneticPr fontId="74"/>
  </si>
  <si>
    <t>コミッティ</t>
    <phoneticPr fontId="74"/>
  </si>
  <si>
    <t>未央</t>
    <rPh sb="0" eb="2">
      <t>ミオ</t>
    </rPh>
    <phoneticPr fontId="4"/>
  </si>
  <si>
    <t>星野</t>
    <rPh sb="0" eb="1">
      <t>ホシ</t>
    </rPh>
    <rPh sb="1" eb="2">
      <t>ノ</t>
    </rPh>
    <phoneticPr fontId="4"/>
  </si>
  <si>
    <t>小松</t>
    <rPh sb="0" eb="2">
      <t>コマツ</t>
    </rPh>
    <phoneticPr fontId="4"/>
  </si>
  <si>
    <t>山本</t>
    <rPh sb="0" eb="2">
      <t>ヤマモト</t>
    </rPh>
    <phoneticPr fontId="4"/>
  </si>
  <si>
    <t>橋田</t>
    <rPh sb="0" eb="2">
      <t>ハシダ</t>
    </rPh>
    <phoneticPr fontId="4"/>
  </si>
  <si>
    <t>【レースコメント】
快晴10ktの気持ち良い風の中、タイトリーチでのスタート。多くの艇が本部艇サイドからだったがミスニッポンはあえて混んでないアウターサイドからジャストでスタート。小網代浮標をかわしジェネカーアップ、290°ヘディングで「浮き相模3号」へ向かう。上側の艇団もスピンアップ。マークまでジェネカーでは上り切れず、マーク1マイル手前でジブアップ、トップでマーク回航。ジェネカーは厳しいかと思ったが風速も落ち傾向なのでアップ、潮もあり少しずつ落とされながら小網代浮標へ向かう。浮標手前1マイルでぱったり風が落ち、後ろのSHARKが追いかけてくる！我慢しながら走らせ、念願のファーストホームをさせていただきました！ミスニッポンは葉山からの参加ですが今後ともよろしくお願い致します。（ミスニッポン　小川）</t>
    <phoneticPr fontId="4"/>
  </si>
  <si>
    <t>G</t>
  </si>
  <si>
    <t>G</t>
    <phoneticPr fontId="4"/>
  </si>
  <si>
    <t>○</t>
  </si>
  <si>
    <t>○</t>
    <phoneticPr fontId="4"/>
  </si>
  <si>
    <t>2019年12月現在</t>
    <rPh sb="4" eb="5">
      <t>ネン</t>
    </rPh>
    <rPh sb="7" eb="8">
      <t>ガツ</t>
    </rPh>
    <rPh sb="8" eb="10">
      <t>ゲンザイ</t>
    </rPh>
    <phoneticPr fontId="5"/>
  </si>
  <si>
    <t>北北東</t>
    <rPh sb="0" eb="3">
      <t>ホクホクトウ</t>
    </rPh>
    <phoneticPr fontId="74"/>
  </si>
  <si>
    <t>晴れ</t>
    <rPh sb="0" eb="1">
      <t>ハ</t>
    </rPh>
    <phoneticPr fontId="74"/>
  </si>
  <si>
    <t>坂本</t>
    <rPh sb="0" eb="2">
      <t>サカモト</t>
    </rPh>
    <phoneticPr fontId="4"/>
  </si>
  <si>
    <t>高橋</t>
    <rPh sb="0" eb="2">
      <t>タカハシ</t>
    </rPh>
    <phoneticPr fontId="4"/>
  </si>
  <si>
    <t>斉藤</t>
    <rPh sb="0" eb="2">
      <t>サイトウ</t>
    </rPh>
    <phoneticPr fontId="4"/>
  </si>
  <si>
    <t>中村</t>
    <rPh sb="0" eb="2">
      <t>ナカムラ</t>
    </rPh>
    <phoneticPr fontId="4"/>
  </si>
  <si>
    <t>くろしお</t>
    <phoneticPr fontId="4"/>
  </si>
  <si>
    <t>くろしお</t>
    <phoneticPr fontId="4"/>
  </si>
  <si>
    <t>アルファ</t>
    <phoneticPr fontId="74"/>
  </si>
  <si>
    <t>Gコース</t>
    <phoneticPr fontId="4"/>
  </si>
  <si>
    <t>アルファ</t>
    <phoneticPr fontId="4"/>
  </si>
  <si>
    <t>2019/12/18 現在</t>
    <rPh sb="11" eb="13">
      <t>ゲンザイ</t>
    </rPh>
    <phoneticPr fontId="5"/>
  </si>
  <si>
    <t>参考：次年度</t>
    <rPh sb="0" eb="2">
      <t>サンコウ</t>
    </rPh>
    <rPh sb="3" eb="6">
      <t>ジネンド</t>
    </rPh>
    <phoneticPr fontId="4"/>
  </si>
  <si>
    <t>コミッティ担当</t>
    <rPh sb="5" eb="7">
      <t>タントウ</t>
    </rPh>
    <phoneticPr fontId="74"/>
  </si>
  <si>
    <t xml:space="preserve">  12～ 20kt</t>
    <phoneticPr fontId="4"/>
  </si>
  <si>
    <r>
      <t>【レースコメント】
スタートラインは圧倒的上有利だったが、混乱を避けるためライン中央よりスタートした。快晴 北北東20ktで全艇リーチングで赤白ブイに向かう。ケロニアは他艇のブランケットの影響を受け艇速が伸びなかったが、赤白ブイ回航後ジャイブしてフレッシュウインドを受け快走。スピンを上げた艇がいたが強風でコントロールが難しかったようだ。釜根回航では、先頭集団のMissNippon、アルファがスターボーで戻ってくるので回避に神経を使う。2回目の回航でも同様な状況で突堤も近く釜根回航は怖い。ケロニアは重量艇で中軽風は苦手としていますが風に恵まれ久々に3位入賞出来ました。強風のなかコミッティーの方々ありがとうございました。（ケロニア 三好明男）
【レース委員会より】①Gコースを2回周るコースで実施（スタート→赤白→釜根→赤白→釜根→赤白→フィニッシュ）当初公開ではコース距離を10.5NMとしたが誤りがあり8.6NMへ訂正した。②抗議1件（桜工）がありプロテスト審問会を開催、結果は要件を満たさず却下となった。</t>
    </r>
    <r>
      <rPr>
        <sz val="10.5"/>
        <color rgb="FF0033CC"/>
        <rFont val="HGSｺﾞｼｯｸM"/>
        <family val="3"/>
        <charset val="128"/>
      </rPr>
      <t>③次回1月はGコース※釜根ブイを右に見て周るに改変。コミッティは抽選の結果アルファに決定。</t>
    </r>
    <r>
      <rPr>
        <sz val="10.5"/>
        <rFont val="HGSｺﾞｼｯｸM"/>
        <family val="3"/>
        <charset val="128"/>
      </rPr>
      <t xml:space="preserve">
</t>
    </r>
    <rPh sb="341" eb="342">
      <t>カイ</t>
    </rPh>
    <rPh sb="342" eb="343">
      <t>マワ</t>
    </rPh>
    <rPh sb="348" eb="350">
      <t>ジッシ</t>
    </rPh>
    <rPh sb="356" eb="358">
      <t>アカシロ</t>
    </rPh>
    <rPh sb="359" eb="360">
      <t>カマ</t>
    </rPh>
    <rPh sb="360" eb="361">
      <t>ネ</t>
    </rPh>
    <rPh sb="378" eb="380">
      <t>トウショ</t>
    </rPh>
    <rPh sb="380" eb="382">
      <t>コウカイ</t>
    </rPh>
    <rPh sb="387" eb="389">
      <t>キョリ</t>
    </rPh>
    <rPh sb="400" eb="401">
      <t>アヤマ</t>
    </rPh>
    <rPh sb="411" eb="413">
      <t>テイセイ</t>
    </rPh>
    <rPh sb="417" eb="419">
      <t>コウギ</t>
    </rPh>
    <rPh sb="420" eb="421">
      <t>ケン</t>
    </rPh>
    <rPh sb="422" eb="423">
      <t>サクラ</t>
    </rPh>
    <rPh sb="423" eb="424">
      <t>コウ</t>
    </rPh>
    <rPh sb="433" eb="435">
      <t>シンモン</t>
    </rPh>
    <rPh sb="435" eb="436">
      <t>カイ</t>
    </rPh>
    <rPh sb="437" eb="439">
      <t>カイサイ</t>
    </rPh>
    <rPh sb="440" eb="442">
      <t>ケッカ</t>
    </rPh>
    <rPh sb="443" eb="445">
      <t>ヨウケン</t>
    </rPh>
    <rPh sb="446" eb="447">
      <t>ミ</t>
    </rPh>
    <rPh sb="450" eb="452">
      <t>キャッカ</t>
    </rPh>
    <rPh sb="458" eb="460">
      <t>ジカイ</t>
    </rPh>
    <rPh sb="461" eb="462">
      <t>ガツ</t>
    </rPh>
    <rPh sb="468" eb="470">
      <t>カマネ</t>
    </rPh>
    <rPh sb="473" eb="474">
      <t>ミギ</t>
    </rPh>
    <rPh sb="475" eb="476">
      <t>ミ</t>
    </rPh>
    <rPh sb="477" eb="478">
      <t>マワ</t>
    </rPh>
    <rPh sb="480" eb="482">
      <t>カイヘン</t>
    </rPh>
    <rPh sb="489" eb="491">
      <t>チュウセン</t>
    </rPh>
    <rPh sb="492" eb="494">
      <t>ケッカ</t>
    </rPh>
    <rPh sb="499" eb="501">
      <t>ケッテイ</t>
    </rPh>
    <phoneticPr fontId="4"/>
  </si>
  <si>
    <t>2019年度 後期</t>
    <rPh sb="7" eb="9">
      <t>コウキ</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</si>
</sst>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s>
  <fonts count="78">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sz val="12"/>
      <color indexed="8"/>
      <name val="ＭＳ Ｐゴシック"/>
      <family val="3"/>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sz val="12"/>
      <name val="ＭＳ Ｐゴシック"/>
      <family val="3"/>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2"/>
      <name val="ＭＳ Ｐゴシック"/>
      <family val="3"/>
      <charset val="128"/>
      <scheme val="minor"/>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2"/>
      <color rgb="FF00B0F0"/>
      <name val="ＭＳ Ｐゴシック"/>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0.5"/>
      <name val="HGSｺﾞｼｯｸM"/>
      <family val="3"/>
      <charset val="128"/>
    </font>
    <font>
      <sz val="10.5"/>
      <color rgb="FF0033CC"/>
      <name val="HGSｺﾞｼｯｸM"/>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0"/>
        <bgColor indexed="26"/>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40"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7"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0" fontId="39" fillId="0" borderId="5" applyNumberFormat="0" applyFill="0" applyAlignment="0" applyProtection="0">
      <alignment vertical="center"/>
    </xf>
    <xf numFmtId="0" fontId="38"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42" fillId="0" borderId="0">
      <alignment vertical="center"/>
    </xf>
    <xf numFmtId="0" fontId="16" fillId="0" borderId="0"/>
    <xf numFmtId="0" fontId="7" fillId="0" borderId="0"/>
    <xf numFmtId="0" fontId="36" fillId="0" borderId="0"/>
    <xf numFmtId="0" fontId="35" fillId="4" borderId="0" applyNumberFormat="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546">
    <xf numFmtId="0" fontId="0" fillId="0" borderId="0" xfId="0">
      <alignment vertical="center"/>
    </xf>
    <xf numFmtId="0" fontId="7" fillId="0" borderId="0" xfId="0" applyFont="1" applyAlignment="1"/>
    <xf numFmtId="0" fontId="9" fillId="0" borderId="0" xfId="0" applyFont="1" applyAlignment="1"/>
    <xf numFmtId="0" fontId="11" fillId="0" borderId="0" xfId="0" applyFont="1" applyAlignment="1"/>
    <xf numFmtId="0" fontId="13" fillId="0" borderId="14" xfId="0" applyFont="1" applyBorder="1" applyAlignment="1">
      <alignment horizontal="center"/>
    </xf>
    <xf numFmtId="176" fontId="13" fillId="0" borderId="14" xfId="0" applyNumberFormat="1" applyFont="1" applyBorder="1" applyAlignment="1">
      <alignment horizontal="center"/>
    </xf>
    <xf numFmtId="176" fontId="11" fillId="0" borderId="0" xfId="0" applyNumberFormat="1" applyFont="1" applyAlignment="1"/>
    <xf numFmtId="176" fontId="13"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3"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3" fillId="0" borderId="16" xfId="0" applyFont="1" applyBorder="1" applyAlignment="1">
      <alignment horizontal="center"/>
    </xf>
    <xf numFmtId="0" fontId="9" fillId="0" borderId="18" xfId="0" applyFont="1" applyBorder="1" applyAlignment="1">
      <alignment horizontal="center"/>
    </xf>
    <xf numFmtId="0" fontId="9" fillId="0" borderId="19" xfId="0" applyFont="1" applyBorder="1" applyAlignment="1">
      <alignment horizontal="center"/>
    </xf>
    <xf numFmtId="0" fontId="0" fillId="0" borderId="20" xfId="0" applyBorder="1" applyAlignment="1">
      <alignment horizontal="center" vertical="center"/>
    </xf>
    <xf numFmtId="0" fontId="11" fillId="0" borderId="14" xfId="0" applyFont="1" applyBorder="1" applyAlignment="1"/>
    <xf numFmtId="0" fontId="13" fillId="0" borderId="18" xfId="0" applyFont="1" applyBorder="1" applyAlignment="1">
      <alignment horizont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5" fillId="0" borderId="0" xfId="0" applyFont="1" applyAlignment="1">
      <alignment horizontal="center" vertical="center"/>
    </xf>
    <xf numFmtId="180" fontId="3" fillId="0" borderId="18" xfId="0" applyNumberFormat="1" applyFont="1" applyBorder="1" applyAlignment="1">
      <alignment horizontal="center" vertical="center"/>
    </xf>
    <xf numFmtId="180" fontId="3" fillId="0" borderId="19" xfId="0" applyNumberFormat="1" applyFont="1" applyBorder="1" applyAlignment="1">
      <alignment horizontal="center" vertical="center"/>
    </xf>
    <xf numFmtId="0" fontId="9" fillId="0" borderId="14" xfId="0" applyFont="1" applyBorder="1" applyAlignment="1">
      <alignment horizontal="center"/>
    </xf>
    <xf numFmtId="0" fontId="0" fillId="0" borderId="14" xfId="0" applyBorder="1">
      <alignment vertical="center"/>
    </xf>
    <xf numFmtId="0" fontId="7"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3" fillId="0" borderId="19" xfId="0" applyNumberFormat="1" applyFont="1" applyBorder="1" applyAlignment="1">
      <alignment horizontal="right" vertical="center"/>
    </xf>
    <xf numFmtId="56" fontId="3" fillId="0" borderId="20" xfId="0" applyNumberFormat="1" applyFont="1" applyBorder="1" applyAlignment="1">
      <alignment horizontal="right" vertical="center"/>
    </xf>
    <xf numFmtId="0" fontId="13"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6" fillId="0" borderId="0" xfId="0" applyFont="1">
      <alignment vertical="center"/>
    </xf>
    <xf numFmtId="0" fontId="17" fillId="0" borderId="0" xfId="0" applyFont="1" applyAlignment="1"/>
    <xf numFmtId="0" fontId="9" fillId="0" borderId="0" xfId="0" applyFont="1" applyAlignment="1">
      <alignment horizontal="center"/>
    </xf>
    <xf numFmtId="0" fontId="9" fillId="0" borderId="0" xfId="0" applyFont="1" applyAlignment="1">
      <alignment shrinkToFit="1"/>
    </xf>
    <xf numFmtId="56" fontId="9" fillId="0" borderId="58" xfId="0" applyNumberFormat="1" applyFont="1" applyBorder="1" applyAlignment="1">
      <alignment vertical="center" shrinkToFit="1"/>
    </xf>
    <xf numFmtId="183" fontId="9" fillId="0" borderId="59" xfId="0" applyNumberFormat="1" applyFont="1" applyBorder="1" applyAlignment="1">
      <alignment vertical="center" shrinkToFit="1"/>
    </xf>
    <xf numFmtId="183" fontId="9" fillId="0" borderId="60" xfId="0" applyNumberFormat="1" applyFont="1" applyBorder="1" applyAlignment="1">
      <alignment vertical="center" shrinkToFit="1"/>
    </xf>
    <xf numFmtId="0" fontId="7" fillId="0" borderId="61" xfId="0" applyFont="1" applyBorder="1" applyAlignment="1">
      <alignment horizontal="center" vertical="center" shrinkToFit="1"/>
    </xf>
    <xf numFmtId="0" fontId="9" fillId="0" borderId="62" xfId="0" applyFont="1" applyBorder="1" applyAlignment="1">
      <alignment horizontal="center" vertical="center" shrinkToFit="1"/>
    </xf>
    <xf numFmtId="176" fontId="7" fillId="0" borderId="63" xfId="0" applyNumberFormat="1"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65" xfId="0" applyFont="1" applyBorder="1" applyAlignment="1">
      <alignment horizontal="center" vertical="center" shrinkToFit="1"/>
    </xf>
    <xf numFmtId="176" fontId="7" fillId="0" borderId="66" xfId="0" applyNumberFormat="1"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176" fontId="7" fillId="0" borderId="67" xfId="0" applyNumberFormat="1" applyFont="1" applyBorder="1" applyAlignment="1">
      <alignment horizontal="center" vertical="center" shrinkToFit="1"/>
    </xf>
    <xf numFmtId="176" fontId="7" fillId="0" borderId="69" xfId="0" applyNumberFormat="1" applyFont="1" applyBorder="1" applyAlignment="1">
      <alignment horizontal="center" vertical="center" shrinkToFit="1"/>
    </xf>
    <xf numFmtId="176" fontId="7" fillId="0" borderId="70" xfId="0" applyNumberFormat="1" applyFont="1" applyBorder="1" applyAlignment="1">
      <alignment horizontal="center" vertical="center" shrinkToFit="1"/>
    </xf>
    <xf numFmtId="176" fontId="7" fillId="0" borderId="7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73" xfId="0" applyNumberFormat="1" applyFont="1" applyBorder="1" applyAlignment="1">
      <alignment horizontal="center" vertical="center" shrinkToFit="1"/>
    </xf>
    <xf numFmtId="176" fontId="7" fillId="0" borderId="74" xfId="0" applyNumberFormat="1" applyFont="1" applyBorder="1" applyAlignment="1">
      <alignment horizontal="center" vertical="center" shrinkToFit="1"/>
    </xf>
    <xf numFmtId="0" fontId="7" fillId="0" borderId="75" xfId="0" applyFont="1" applyBorder="1" applyAlignment="1">
      <alignment horizontal="center" vertical="center" shrinkToFit="1"/>
    </xf>
    <xf numFmtId="176" fontId="7" fillId="0" borderId="76" xfId="0" applyNumberFormat="1" applyFont="1" applyBorder="1" applyAlignment="1">
      <alignment horizontal="center" vertical="center" shrinkToFit="1"/>
    </xf>
    <xf numFmtId="0" fontId="7" fillId="0" borderId="0" xfId="0" applyFont="1" applyAlignment="1">
      <alignment shrinkToFit="1"/>
    </xf>
    <xf numFmtId="176"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8"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185" fontId="11" fillId="0" borderId="14" xfId="0" applyNumberFormat="1" applyFont="1" applyBorder="1" applyAlignment="1"/>
    <xf numFmtId="179" fontId="11" fillId="0" borderId="14" xfId="0" applyNumberFormat="1" applyFont="1" applyBorder="1" applyAlignment="1"/>
    <xf numFmtId="0" fontId="20" fillId="0" borderId="0" xfId="0" applyFont="1" applyAlignment="1">
      <alignment horizontal="right" vertical="center"/>
    </xf>
    <xf numFmtId="31" fontId="21" fillId="0" borderId="0" xfId="0" applyNumberFormat="1" applyFont="1" applyAlignment="1">
      <alignment horizontal="right" vertical="center"/>
    </xf>
    <xf numFmtId="0" fontId="47" fillId="0" borderId="0" xfId="0" applyFont="1">
      <alignment vertical="center"/>
    </xf>
    <xf numFmtId="0" fontId="20" fillId="0" borderId="0" xfId="0" applyFont="1" applyAlignment="1">
      <alignment horizontal="center" vertical="center"/>
    </xf>
    <xf numFmtId="0" fontId="20" fillId="0" borderId="93" xfId="0" applyFont="1" applyBorder="1" applyAlignment="1">
      <alignment horizontal="center" vertical="center"/>
    </xf>
    <xf numFmtId="0" fontId="47" fillId="0" borderId="0" xfId="0" applyFont="1" applyAlignment="1">
      <alignment horizontal="center" vertical="center"/>
    </xf>
    <xf numFmtId="0" fontId="47" fillId="0" borderId="14" xfId="0" applyFont="1" applyBorder="1" applyAlignment="1">
      <alignment horizontal="center" vertical="center"/>
    </xf>
    <xf numFmtId="0" fontId="47" fillId="25" borderId="61" xfId="0" applyFont="1" applyFill="1" applyBorder="1" applyAlignment="1">
      <alignment horizontal="right" vertical="center"/>
    </xf>
    <xf numFmtId="0" fontId="47" fillId="26" borderId="14" xfId="0" applyFont="1" applyFill="1" applyBorder="1" applyAlignment="1">
      <alignment horizontal="left" vertical="center"/>
    </xf>
    <xf numFmtId="0" fontId="47" fillId="0" borderId="0" xfId="0" applyFont="1" applyAlignment="1">
      <alignment horizontal="right" vertical="center"/>
    </xf>
    <xf numFmtId="0" fontId="21" fillId="0" borderId="0" xfId="0" applyFont="1" applyAlignment="1">
      <alignment horizontal="left" vertical="center"/>
    </xf>
    <xf numFmtId="0" fontId="47" fillId="0" borderId="0" xfId="0" applyFont="1" applyAlignment="1">
      <alignment horizontal="left" vertical="center"/>
    </xf>
    <xf numFmtId="183" fontId="23" fillId="0" borderId="59" xfId="0" applyNumberFormat="1" applyFont="1" applyBorder="1" applyAlignment="1">
      <alignment vertical="center" wrapText="1" shrinkToFit="1"/>
    </xf>
    <xf numFmtId="14" fontId="12" fillId="0" borderId="0" xfId="0" quotePrefix="1" applyNumberFormat="1" applyFont="1" applyAlignment="1">
      <alignment horizontal="right" vertical="center"/>
    </xf>
    <xf numFmtId="0" fontId="19" fillId="0" borderId="14" xfId="0" applyFont="1" applyBorder="1" applyAlignment="1"/>
    <xf numFmtId="176" fontId="19" fillId="0" borderId="14" xfId="0" applyNumberFormat="1" applyFont="1" applyBorder="1" applyAlignment="1"/>
    <xf numFmtId="0" fontId="48" fillId="0" borderId="14" xfId="0" applyFont="1" applyBorder="1" applyAlignment="1"/>
    <xf numFmtId="0" fontId="14" fillId="0" borderId="14" xfId="0" applyFont="1" applyBorder="1" applyAlignment="1"/>
    <xf numFmtId="0" fontId="7" fillId="0" borderId="14" xfId="0" applyFont="1" applyBorder="1" applyAlignment="1"/>
    <xf numFmtId="0" fontId="0" fillId="0" borderId="14" xfId="0" applyBorder="1" applyAlignment="1">
      <alignment horizontal="left" vertical="center"/>
    </xf>
    <xf numFmtId="0" fontId="0" fillId="26" borderId="14" xfId="0" applyFill="1" applyBorder="1" applyAlignment="1">
      <alignment horizontal="left" vertical="center"/>
    </xf>
    <xf numFmtId="0" fontId="0" fillId="0" borderId="33" xfId="0" applyBorder="1" applyAlignment="1">
      <alignment horizontal="left" vertical="center"/>
    </xf>
    <xf numFmtId="0" fontId="0" fillId="26" borderId="33" xfId="0" applyFill="1" applyBorder="1" applyAlignment="1">
      <alignment horizontal="left" vertical="center"/>
    </xf>
    <xf numFmtId="56" fontId="3" fillId="0" borderId="0" xfId="0" applyNumberFormat="1" applyFont="1" applyAlignment="1">
      <alignment horizontal="right" vertical="center"/>
    </xf>
    <xf numFmtId="0" fontId="7" fillId="0" borderId="95" xfId="0" applyFont="1" applyBorder="1" applyAlignment="1">
      <alignment horizontal="center" vertical="center" shrinkToFit="1"/>
    </xf>
    <xf numFmtId="176" fontId="7" fillId="0" borderId="95" xfId="0" applyNumberFormat="1" applyFont="1" applyBorder="1" applyAlignment="1">
      <alignment horizontal="center" vertical="center" shrinkToFit="1"/>
    </xf>
    <xf numFmtId="176" fontId="7" fillId="0" borderId="96" xfId="0" applyNumberFormat="1"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14" xfId="0" applyFont="1" applyBorder="1" applyAlignment="1">
      <alignment horizontal="center" vertical="center" shrinkToFit="1"/>
    </xf>
    <xf numFmtId="2" fontId="9" fillId="0" borderId="43" xfId="0" applyNumberFormat="1" applyFont="1" applyBorder="1">
      <alignment vertical="center"/>
    </xf>
    <xf numFmtId="2" fontId="9" fillId="0" borderId="29" xfId="0" applyNumberFormat="1" applyFont="1" applyBorder="1" applyAlignment="1">
      <alignment vertical="center" shrinkToFit="1"/>
    </xf>
    <xf numFmtId="2" fontId="9" fillId="0" borderId="44" xfId="0" applyNumberFormat="1" applyFont="1" applyBorder="1">
      <alignment vertical="center"/>
    </xf>
    <xf numFmtId="182" fontId="9" fillId="0" borderId="97" xfId="0" applyNumberFormat="1" applyFont="1" applyBorder="1">
      <alignment vertical="center"/>
    </xf>
    <xf numFmtId="182" fontId="9" fillId="0" borderId="29" xfId="0" applyNumberFormat="1" applyFont="1" applyBorder="1">
      <alignment vertical="center"/>
    </xf>
    <xf numFmtId="182" fontId="9" fillId="0" borderId="44" xfId="0" applyNumberFormat="1" applyFont="1" applyBorder="1">
      <alignment vertical="center"/>
    </xf>
    <xf numFmtId="2" fontId="9" fillId="0" borderId="16" xfId="0" applyNumberFormat="1" applyFont="1" applyBorder="1">
      <alignment vertical="center"/>
    </xf>
    <xf numFmtId="2" fontId="9" fillId="0" borderId="14" xfId="0" applyNumberFormat="1" applyFont="1" applyBorder="1" applyAlignment="1">
      <alignment vertical="center" shrinkToFit="1"/>
    </xf>
    <xf numFmtId="2" fontId="9" fillId="0" borderId="17" xfId="0" applyNumberFormat="1" applyFont="1" applyBorder="1">
      <alignment vertical="center"/>
    </xf>
    <xf numFmtId="182" fontId="9" fillId="0" borderId="98" xfId="0" applyNumberFormat="1" applyFont="1" applyBorder="1">
      <alignment vertical="center"/>
    </xf>
    <xf numFmtId="182" fontId="9" fillId="0" borderId="14" xfId="0" applyNumberFormat="1" applyFont="1" applyBorder="1">
      <alignment vertical="center"/>
    </xf>
    <xf numFmtId="182" fontId="9" fillId="0" borderId="17" xfId="0" applyNumberFormat="1" applyFont="1" applyBorder="1">
      <alignment vertical="center"/>
    </xf>
    <xf numFmtId="2" fontId="9" fillId="0" borderId="99" xfId="0" applyNumberFormat="1" applyFont="1" applyBorder="1">
      <alignment vertical="center"/>
    </xf>
    <xf numFmtId="2" fontId="9" fillId="0" borderId="77" xfId="0" applyNumberFormat="1" applyFont="1" applyBorder="1" applyAlignment="1">
      <alignment vertical="center" shrinkToFit="1"/>
    </xf>
    <xf numFmtId="2" fontId="9" fillId="0" borderId="100" xfId="0" applyNumberFormat="1" applyFont="1" applyBorder="1">
      <alignment vertical="center"/>
    </xf>
    <xf numFmtId="182" fontId="9" fillId="0" borderId="101" xfId="0" applyNumberFormat="1" applyFont="1" applyBorder="1">
      <alignment vertical="center"/>
    </xf>
    <xf numFmtId="182" fontId="9" fillId="0" borderId="77" xfId="0" applyNumberFormat="1" applyFont="1" applyBorder="1">
      <alignment vertical="center"/>
    </xf>
    <xf numFmtId="182" fontId="9" fillId="0" borderId="100" xfId="0" applyNumberFormat="1" applyFont="1" applyBorder="1">
      <alignment vertical="center"/>
    </xf>
    <xf numFmtId="2" fontId="9" fillId="0" borderId="16" xfId="0" applyNumberFormat="1" applyFont="1" applyBorder="1" applyAlignment="1">
      <alignment vertical="center" shrinkToFit="1"/>
    </xf>
    <xf numFmtId="2" fontId="9" fillId="0" borderId="14" xfId="0" applyNumberFormat="1" applyFont="1" applyBorder="1">
      <alignment vertical="center"/>
    </xf>
    <xf numFmtId="0" fontId="10" fillId="0" borderId="0" xfId="0" applyFont="1" applyAlignment="1"/>
    <xf numFmtId="182" fontId="0" fillId="0" borderId="14" xfId="0" applyNumberFormat="1" applyBorder="1">
      <alignment vertical="center"/>
    </xf>
    <xf numFmtId="0" fontId="0" fillId="26" borderId="14" xfId="0" applyFill="1" applyBorder="1" applyAlignment="1"/>
    <xf numFmtId="0" fontId="0" fillId="26" borderId="33" xfId="0" applyFill="1" applyBorder="1" applyAlignment="1"/>
    <xf numFmtId="0" fontId="0" fillId="0" borderId="103" xfId="0" applyBorder="1" applyAlignment="1"/>
    <xf numFmtId="20" fontId="0" fillId="0" borderId="61" xfId="0" applyNumberFormat="1" applyBorder="1" applyAlignment="1"/>
    <xf numFmtId="20" fontId="0" fillId="0" borderId="104" xfId="0" applyNumberFormat="1" applyBorder="1" applyAlignment="1"/>
    <xf numFmtId="0" fontId="0" fillId="0" borderId="14" xfId="0" applyBorder="1" applyAlignment="1"/>
    <xf numFmtId="20" fontId="0" fillId="0" borderId="14" xfId="0" applyNumberFormat="1" applyBorder="1">
      <alignment vertical="center"/>
    </xf>
    <xf numFmtId="14" fontId="47" fillId="25" borderId="98" xfId="0" applyNumberFormat="1" applyFont="1" applyFill="1" applyBorder="1" applyAlignment="1">
      <alignment horizontal="left" vertical="center"/>
    </xf>
    <xf numFmtId="0" fontId="50" fillId="25" borderId="0" xfId="0" applyFont="1" applyFill="1" applyAlignment="1"/>
    <xf numFmtId="55" fontId="50" fillId="25" borderId="0" xfId="0" applyNumberFormat="1" applyFont="1" applyFill="1" applyAlignment="1"/>
    <xf numFmtId="49" fontId="51" fillId="25" borderId="0" xfId="0" applyNumberFormat="1" applyFont="1" applyFill="1" applyAlignment="1">
      <alignment horizontal="center" vertical="top"/>
    </xf>
    <xf numFmtId="49" fontId="51" fillId="25" borderId="0" xfId="0" applyNumberFormat="1" applyFont="1" applyFill="1" applyAlignment="1">
      <alignment vertical="top"/>
    </xf>
    <xf numFmtId="55" fontId="52" fillId="25" borderId="0" xfId="0" applyNumberFormat="1" applyFont="1" applyFill="1" applyAlignment="1">
      <alignment horizontal="center" vertical="top"/>
    </xf>
    <xf numFmtId="0" fontId="53" fillId="25" borderId="0" xfId="0" applyFont="1" applyFill="1" applyAlignment="1"/>
    <xf numFmtId="0" fontId="54" fillId="28" borderId="15" xfId="0" applyFont="1" applyFill="1" applyBorder="1" applyAlignment="1">
      <alignment horizontal="center" vertical="center"/>
    </xf>
    <xf numFmtId="0" fontId="54" fillId="25" borderId="32" xfId="0" applyFont="1" applyFill="1" applyBorder="1" applyAlignment="1">
      <alignment horizontal="center" vertical="center"/>
    </xf>
    <xf numFmtId="0" fontId="55" fillId="28" borderId="32" xfId="0" applyFont="1" applyFill="1" applyBorder="1" applyAlignment="1">
      <alignment horizontal="center" vertical="center"/>
    </xf>
    <xf numFmtId="0" fontId="56" fillId="25" borderId="0" xfId="0" applyFont="1" applyFill="1">
      <alignment vertical="center"/>
    </xf>
    <xf numFmtId="0" fontId="51" fillId="25" borderId="0" xfId="0" applyFont="1" applyFill="1" applyAlignment="1">
      <alignment horizontal="center"/>
    </xf>
    <xf numFmtId="0" fontId="57" fillId="28" borderId="22" xfId="0" applyFont="1" applyFill="1" applyBorder="1" applyAlignment="1">
      <alignment horizontal="center" vertical="center"/>
    </xf>
    <xf numFmtId="182" fontId="57" fillId="25" borderId="33" xfId="0" applyNumberFormat="1" applyFont="1" applyFill="1" applyBorder="1" applyAlignment="1">
      <alignment horizontal="center" vertical="center"/>
    </xf>
    <xf numFmtId="0" fontId="57" fillId="28" borderId="33" xfId="0" applyFont="1" applyFill="1" applyBorder="1" applyAlignment="1">
      <alignment horizontal="center" vertical="center"/>
    </xf>
    <xf numFmtId="0" fontId="54" fillId="25" borderId="34" xfId="0" applyFont="1" applyFill="1" applyBorder="1" applyAlignment="1">
      <alignment horizontal="right" vertical="center"/>
    </xf>
    <xf numFmtId="0" fontId="54" fillId="25" borderId="35" xfId="0" applyFont="1" applyFill="1" applyBorder="1" applyAlignment="1">
      <alignment horizontal="left" vertical="center"/>
    </xf>
    <xf numFmtId="0" fontId="57" fillId="25" borderId="30" xfId="0" applyFont="1" applyFill="1" applyBorder="1" applyAlignment="1">
      <alignment horizontal="left"/>
    </xf>
    <xf numFmtId="0" fontId="57" fillId="25" borderId="31" xfId="0" applyFont="1" applyFill="1" applyBorder="1" applyAlignment="1">
      <alignment horizontal="center"/>
    </xf>
    <xf numFmtId="0" fontId="55" fillId="25" borderId="31" xfId="0" applyFont="1" applyFill="1" applyBorder="1" applyAlignment="1">
      <alignment horizontal="left"/>
    </xf>
    <xf numFmtId="0" fontId="60" fillId="25" borderId="23" xfId="0" applyFont="1" applyFill="1" applyBorder="1" applyAlignment="1"/>
    <xf numFmtId="0" fontId="60" fillId="25" borderId="24" xfId="0" applyFont="1" applyFill="1" applyBorder="1" applyAlignment="1">
      <alignment horizontal="center"/>
    </xf>
    <xf numFmtId="0" fontId="60" fillId="25" borderId="24" xfId="0" applyFont="1" applyFill="1" applyBorder="1" applyAlignment="1"/>
    <xf numFmtId="0" fontId="60" fillId="25" borderId="24" xfId="0" applyFont="1" applyFill="1" applyBorder="1" applyAlignment="1">
      <alignment horizontal="right"/>
    </xf>
    <xf numFmtId="0" fontId="60" fillId="25" borderId="29" xfId="0" applyFont="1" applyFill="1" applyBorder="1" applyAlignment="1">
      <alignment horizontal="center"/>
    </xf>
    <xf numFmtId="0" fontId="61" fillId="25" borderId="92" xfId="0" applyFont="1" applyFill="1" applyBorder="1" applyAlignment="1"/>
    <xf numFmtId="0" fontId="62" fillId="25" borderId="25" xfId="0" applyFont="1" applyFill="1" applyBorder="1" applyAlignment="1"/>
    <xf numFmtId="0" fontId="62" fillId="25" borderId="36" xfId="0" quotePrefix="1" applyFont="1" applyFill="1" applyBorder="1" applyAlignment="1">
      <alignment horizontal="center"/>
    </xf>
    <xf numFmtId="176" fontId="62" fillId="25" borderId="10" xfId="0" applyNumberFormat="1" applyFont="1" applyFill="1" applyBorder="1" applyAlignment="1"/>
    <xf numFmtId="0" fontId="62" fillId="25" borderId="10" xfId="0" applyFont="1" applyFill="1" applyBorder="1" applyAlignment="1">
      <alignment horizontal="left"/>
    </xf>
    <xf numFmtId="0" fontId="62" fillId="25" borderId="10" xfId="0" applyFont="1" applyFill="1" applyBorder="1" applyAlignment="1">
      <alignment horizontal="center"/>
    </xf>
    <xf numFmtId="21" fontId="62" fillId="25" borderId="10" xfId="0" applyNumberFormat="1" applyFont="1" applyFill="1" applyBorder="1" applyAlignment="1">
      <alignment horizontal="center"/>
    </xf>
    <xf numFmtId="178" fontId="62" fillId="25" borderId="10" xfId="0" applyNumberFormat="1" applyFont="1" applyFill="1" applyBorder="1" applyAlignment="1">
      <alignment horizontal="right"/>
    </xf>
    <xf numFmtId="176" fontId="62" fillId="25" borderId="10" xfId="0" applyNumberFormat="1" applyFont="1" applyFill="1" applyBorder="1" applyAlignment="1">
      <alignment horizontal="right"/>
    </xf>
    <xf numFmtId="179" fontId="62" fillId="25" borderId="10" xfId="0" applyNumberFormat="1" applyFont="1" applyFill="1" applyBorder="1" applyAlignment="1"/>
    <xf numFmtId="177" fontId="62" fillId="25" borderId="10" xfId="0" applyNumberFormat="1" applyFont="1" applyFill="1" applyBorder="1" applyAlignment="1"/>
    <xf numFmtId="181" fontId="62" fillId="25" borderId="10" xfId="0" applyNumberFormat="1" applyFont="1" applyFill="1" applyBorder="1" applyAlignment="1">
      <alignment horizontal="right" vertical="top"/>
    </xf>
    <xf numFmtId="0" fontId="62" fillId="25" borderId="26" xfId="0" applyFont="1" applyFill="1" applyBorder="1" applyAlignment="1"/>
    <xf numFmtId="0" fontId="62" fillId="25" borderId="37" xfId="0" quotePrefix="1" applyFont="1" applyFill="1" applyBorder="1" applyAlignment="1">
      <alignment horizontal="center"/>
    </xf>
    <xf numFmtId="176" fontId="62" fillId="25" borderId="11" xfId="0" applyNumberFormat="1" applyFont="1" applyFill="1" applyBorder="1" applyAlignment="1"/>
    <xf numFmtId="0" fontId="62" fillId="25" borderId="11" xfId="0" applyFont="1" applyFill="1" applyBorder="1" applyAlignment="1">
      <alignment horizontal="left"/>
    </xf>
    <xf numFmtId="0" fontId="62" fillId="25" borderId="11" xfId="0" applyFont="1" applyFill="1" applyBorder="1" applyAlignment="1">
      <alignment horizontal="center"/>
    </xf>
    <xf numFmtId="21" fontId="62" fillId="25" borderId="11" xfId="0" applyNumberFormat="1" applyFont="1" applyFill="1" applyBorder="1" applyAlignment="1">
      <alignment horizontal="center"/>
    </xf>
    <xf numFmtId="178" fontId="62" fillId="25" borderId="11" xfId="0" applyNumberFormat="1" applyFont="1" applyFill="1" applyBorder="1" applyAlignment="1">
      <alignment horizontal="right"/>
    </xf>
    <xf numFmtId="176" fontId="62" fillId="25" borderId="11" xfId="0" applyNumberFormat="1" applyFont="1" applyFill="1" applyBorder="1" applyAlignment="1">
      <alignment horizontal="right"/>
    </xf>
    <xf numFmtId="179" fontId="62" fillId="25" borderId="11" xfId="0" applyNumberFormat="1" applyFont="1" applyFill="1" applyBorder="1" applyAlignment="1"/>
    <xf numFmtId="177" fontId="62" fillId="25" borderId="11" xfId="0" applyNumberFormat="1" applyFont="1" applyFill="1" applyBorder="1" applyAlignment="1"/>
    <xf numFmtId="181" fontId="62" fillId="25" borderId="11" xfId="0" applyNumberFormat="1" applyFont="1" applyFill="1" applyBorder="1" applyAlignment="1">
      <alignment horizontal="right" vertical="top"/>
    </xf>
    <xf numFmtId="21" fontId="62" fillId="25" borderId="67" xfId="0" applyNumberFormat="1" applyFont="1" applyFill="1" applyBorder="1" applyAlignment="1">
      <alignment horizontal="center"/>
    </xf>
    <xf numFmtId="0" fontId="62" fillId="25" borderId="27" xfId="0" applyFont="1" applyFill="1" applyBorder="1" applyAlignment="1"/>
    <xf numFmtId="0" fontId="62" fillId="25" borderId="38" xfId="0" quotePrefix="1" applyFont="1" applyFill="1" applyBorder="1" applyAlignment="1">
      <alignment horizontal="center"/>
    </xf>
    <xf numFmtId="176" fontId="62" fillId="25" borderId="12" xfId="0" applyNumberFormat="1" applyFont="1" applyFill="1" applyBorder="1" applyAlignment="1"/>
    <xf numFmtId="0" fontId="62" fillId="25" borderId="12" xfId="0" applyFont="1" applyFill="1" applyBorder="1" applyAlignment="1">
      <alignment horizontal="left"/>
    </xf>
    <xf numFmtId="0" fontId="62" fillId="25" borderId="12" xfId="0" applyFont="1" applyFill="1" applyBorder="1" applyAlignment="1">
      <alignment horizontal="center"/>
    </xf>
    <xf numFmtId="21" fontId="62" fillId="25" borderId="12" xfId="0" applyNumberFormat="1" applyFont="1" applyFill="1" applyBorder="1" applyAlignment="1">
      <alignment horizontal="center"/>
    </xf>
    <xf numFmtId="176" fontId="62" fillId="25" borderId="49" xfId="0" applyNumberFormat="1" applyFont="1" applyFill="1" applyBorder="1" applyAlignment="1"/>
    <xf numFmtId="178" fontId="62" fillId="25" borderId="49" xfId="0" applyNumberFormat="1" applyFont="1" applyFill="1" applyBorder="1" applyAlignment="1">
      <alignment horizontal="right"/>
    </xf>
    <xf numFmtId="0" fontId="62" fillId="25" borderId="49" xfId="0" applyFont="1" applyFill="1" applyBorder="1" applyAlignment="1">
      <alignment horizontal="center"/>
    </xf>
    <xf numFmtId="176" fontId="62" fillId="25" borderId="49" xfId="0" applyNumberFormat="1" applyFont="1" applyFill="1" applyBorder="1" applyAlignment="1">
      <alignment horizontal="right"/>
    </xf>
    <xf numFmtId="21" fontId="62" fillId="25" borderId="49" xfId="0" applyNumberFormat="1" applyFont="1" applyFill="1" applyBorder="1" applyAlignment="1">
      <alignment horizontal="center"/>
    </xf>
    <xf numFmtId="179" fontId="62" fillId="25" borderId="49" xfId="0" applyNumberFormat="1" applyFont="1" applyFill="1" applyBorder="1" applyAlignment="1"/>
    <xf numFmtId="177" fontId="62" fillId="25" borderId="49" xfId="0" applyNumberFormat="1" applyFont="1" applyFill="1" applyBorder="1" applyAlignment="1"/>
    <xf numFmtId="181" fontId="62" fillId="25" borderId="49" xfId="0" applyNumberFormat="1" applyFont="1" applyFill="1" applyBorder="1" applyAlignment="1">
      <alignment horizontal="right" vertical="top"/>
    </xf>
    <xf numFmtId="21" fontId="62" fillId="25" borderId="74" xfId="0" applyNumberFormat="1" applyFont="1" applyFill="1" applyBorder="1" applyAlignment="1">
      <alignment horizontal="center"/>
    </xf>
    <xf numFmtId="0" fontId="62" fillId="25" borderId="28" xfId="0" applyFont="1" applyFill="1" applyBorder="1" applyAlignment="1"/>
    <xf numFmtId="178" fontId="62" fillId="25" borderId="12" xfId="0" applyNumberFormat="1" applyFont="1" applyFill="1" applyBorder="1" applyAlignment="1">
      <alignment horizontal="right"/>
    </xf>
    <xf numFmtId="176" fontId="62" fillId="25" borderId="12" xfId="0" applyNumberFormat="1" applyFont="1" applyFill="1" applyBorder="1" applyAlignment="1">
      <alignment horizontal="center"/>
    </xf>
    <xf numFmtId="176" fontId="62" fillId="25" borderId="12" xfId="0" applyNumberFormat="1" applyFont="1" applyFill="1" applyBorder="1" applyAlignment="1">
      <alignment horizontal="right"/>
    </xf>
    <xf numFmtId="179" fontId="62" fillId="25" borderId="12" xfId="0" applyNumberFormat="1" applyFont="1" applyFill="1" applyBorder="1" applyAlignment="1"/>
    <xf numFmtId="177" fontId="62" fillId="25" borderId="12" xfId="0" applyNumberFormat="1" applyFont="1" applyFill="1" applyBorder="1" applyAlignment="1"/>
    <xf numFmtId="181" fontId="62" fillId="25" borderId="12" xfId="0" applyNumberFormat="1" applyFont="1" applyFill="1" applyBorder="1" applyAlignment="1">
      <alignment horizontal="right" vertical="top"/>
    </xf>
    <xf numFmtId="176" fontId="62" fillId="25" borderId="13" xfId="0" applyNumberFormat="1" applyFont="1" applyFill="1" applyBorder="1" applyAlignment="1"/>
    <xf numFmtId="178" fontId="62" fillId="25" borderId="13" xfId="0" applyNumberFormat="1" applyFont="1" applyFill="1" applyBorder="1" applyAlignment="1">
      <alignment horizontal="right"/>
    </xf>
    <xf numFmtId="0" fontId="62" fillId="25" borderId="13" xfId="0" applyFont="1" applyFill="1" applyBorder="1" applyAlignment="1">
      <alignment horizontal="center"/>
    </xf>
    <xf numFmtId="176" fontId="62" fillId="25" borderId="13" xfId="0" applyNumberFormat="1" applyFont="1" applyFill="1" applyBorder="1" applyAlignment="1">
      <alignment horizontal="right"/>
    </xf>
    <xf numFmtId="21" fontId="62" fillId="25" borderId="13" xfId="0" applyNumberFormat="1" applyFont="1" applyFill="1" applyBorder="1" applyAlignment="1">
      <alignment horizontal="center"/>
    </xf>
    <xf numFmtId="179" fontId="62" fillId="25" borderId="13" xfId="0" applyNumberFormat="1" applyFont="1" applyFill="1" applyBorder="1" applyAlignment="1"/>
    <xf numFmtId="177" fontId="62" fillId="25" borderId="13" xfId="0" applyNumberFormat="1" applyFont="1" applyFill="1" applyBorder="1" applyAlignment="1"/>
    <xf numFmtId="181" fontId="62" fillId="25" borderId="13" xfId="0" applyNumberFormat="1" applyFont="1" applyFill="1" applyBorder="1" applyAlignment="1">
      <alignment horizontal="right" vertical="top"/>
    </xf>
    <xf numFmtId="0" fontId="62" fillId="25" borderId="39" xfId="0" quotePrefix="1" applyFont="1" applyFill="1" applyBorder="1" applyAlignment="1">
      <alignment horizontal="center"/>
    </xf>
    <xf numFmtId="0" fontId="62" fillId="25" borderId="40" xfId="0" applyFont="1" applyFill="1" applyBorder="1" applyAlignment="1"/>
    <xf numFmtId="21" fontId="62" fillId="25" borderId="67" xfId="0" applyNumberFormat="1" applyFont="1" applyFill="1" applyBorder="1" applyAlignment="1">
      <alignment horizontal="left"/>
    </xf>
    <xf numFmtId="180" fontId="62" fillId="25" borderId="69" xfId="0" applyNumberFormat="1" applyFont="1" applyFill="1" applyBorder="1" applyAlignment="1">
      <alignment horizontal="left"/>
    </xf>
    <xf numFmtId="180" fontId="62" fillId="25" borderId="47" xfId="0" applyNumberFormat="1" applyFont="1" applyFill="1" applyBorder="1" applyAlignment="1">
      <alignment horizontal="center"/>
    </xf>
    <xf numFmtId="0" fontId="62" fillId="25" borderId="13" xfId="0" applyFont="1" applyFill="1" applyBorder="1" applyAlignment="1">
      <alignment horizontal="left"/>
    </xf>
    <xf numFmtId="180" fontId="60" fillId="25" borderId="66" xfId="0" applyNumberFormat="1" applyFont="1" applyFill="1" applyBorder="1">
      <alignment vertical="center"/>
    </xf>
    <xf numFmtId="180" fontId="60" fillId="25" borderId="69" xfId="0" applyNumberFormat="1" applyFont="1" applyFill="1" applyBorder="1">
      <alignment vertical="center"/>
    </xf>
    <xf numFmtId="0" fontId="50" fillId="25" borderId="94" xfId="0" applyFont="1" applyFill="1" applyBorder="1" applyAlignment="1">
      <alignment vertical="top" wrapText="1"/>
    </xf>
    <xf numFmtId="0" fontId="50" fillId="25" borderId="92" xfId="0" applyFont="1" applyFill="1" applyBorder="1" applyAlignment="1">
      <alignment vertical="top" wrapText="1"/>
    </xf>
    <xf numFmtId="0" fontId="50" fillId="25" borderId="84" xfId="0" applyFont="1" applyFill="1" applyBorder="1" applyAlignment="1">
      <alignment vertical="top" wrapText="1"/>
    </xf>
    <xf numFmtId="0" fontId="62" fillId="25" borderId="0" xfId="0" applyFont="1" applyFill="1" applyAlignment="1"/>
    <xf numFmtId="0" fontId="60" fillId="25" borderId="0" xfId="0" applyFont="1" applyFill="1" applyAlignment="1"/>
    <xf numFmtId="0" fontId="56" fillId="0" borderId="0" xfId="0" applyFont="1">
      <alignment vertical="center"/>
    </xf>
    <xf numFmtId="0" fontId="50" fillId="0" borderId="0" xfId="0" applyFont="1" applyAlignment="1"/>
    <xf numFmtId="0" fontId="54" fillId="0" borderId="0" xfId="0" applyFont="1" applyAlignment="1"/>
    <xf numFmtId="0" fontId="65" fillId="0" borderId="0" xfId="0" applyFont="1">
      <alignment vertical="center"/>
    </xf>
    <xf numFmtId="0" fontId="66" fillId="0" borderId="0" xfId="0" applyFont="1" applyAlignment="1"/>
    <xf numFmtId="0" fontId="57" fillId="0" borderId="31" xfId="0" applyFont="1" applyBorder="1" applyAlignment="1">
      <alignment horizontal="center"/>
    </xf>
    <xf numFmtId="0" fontId="62" fillId="0" borderId="0" xfId="0" applyFont="1" applyAlignment="1"/>
    <xf numFmtId="0" fontId="57" fillId="0" borderId="30" xfId="0" applyFont="1" applyBorder="1" applyAlignment="1">
      <alignment horizontal="center"/>
    </xf>
    <xf numFmtId="0" fontId="57" fillId="0" borderId="42" xfId="0" applyFont="1" applyBorder="1" applyAlignment="1">
      <alignment horizontal="center"/>
    </xf>
    <xf numFmtId="0" fontId="60" fillId="0" borderId="29" xfId="0" applyFont="1" applyBorder="1" applyAlignment="1">
      <alignment horizontal="center"/>
    </xf>
    <xf numFmtId="0" fontId="60" fillId="0" borderId="0" xfId="0" applyFont="1" applyAlignment="1"/>
    <xf numFmtId="0" fontId="60" fillId="0" borderId="43" xfId="0" applyFont="1" applyBorder="1" applyAlignment="1">
      <alignment horizontal="center"/>
    </xf>
    <xf numFmtId="0" fontId="60" fillId="0" borderId="44" xfId="0" applyFont="1" applyBorder="1" applyAlignment="1">
      <alignment horizontal="center"/>
    </xf>
    <xf numFmtId="181" fontId="62" fillId="0" borderId="10" xfId="0" applyNumberFormat="1" applyFont="1" applyBorder="1" applyAlignment="1">
      <alignment horizontal="right" vertical="top"/>
    </xf>
    <xf numFmtId="186" fontId="62" fillId="0" borderId="16" xfId="0" applyNumberFormat="1" applyFont="1" applyBorder="1" applyAlignment="1"/>
    <xf numFmtId="186" fontId="62" fillId="0" borderId="14" xfId="0" applyNumberFormat="1" applyFont="1" applyBorder="1" applyAlignment="1"/>
    <xf numFmtId="186" fontId="62" fillId="0" borderId="17" xfId="0" applyNumberFormat="1" applyFont="1" applyBorder="1" applyAlignment="1"/>
    <xf numFmtId="178" fontId="62" fillId="0" borderId="36" xfId="0" applyNumberFormat="1" applyFont="1" applyBorder="1" applyAlignment="1"/>
    <xf numFmtId="178" fontId="62" fillId="0" borderId="10" xfId="0" applyNumberFormat="1" applyFont="1" applyBorder="1" applyAlignment="1"/>
    <xf numFmtId="178" fontId="62" fillId="0" borderId="45" xfId="0" applyNumberFormat="1" applyFont="1" applyBorder="1" applyAlignment="1"/>
    <xf numFmtId="181" fontId="62" fillId="0" borderId="36" xfId="0" applyNumberFormat="1" applyFont="1" applyBorder="1" applyAlignment="1">
      <alignment horizontal="right" vertical="top"/>
    </xf>
    <xf numFmtId="181" fontId="62" fillId="0" borderId="45" xfId="0" applyNumberFormat="1" applyFont="1" applyBorder="1" applyAlignment="1">
      <alignment horizontal="right"/>
    </xf>
    <xf numFmtId="186" fontId="62" fillId="0" borderId="22" xfId="0" applyNumberFormat="1" applyFont="1" applyBorder="1" applyAlignment="1"/>
    <xf numFmtId="186" fontId="62" fillId="0" borderId="33" xfId="0" applyNumberFormat="1" applyFont="1" applyBorder="1" applyAlignment="1"/>
    <xf numFmtId="186" fontId="62" fillId="0" borderId="21" xfId="0" applyNumberFormat="1" applyFont="1" applyBorder="1" applyAlignment="1"/>
    <xf numFmtId="178" fontId="62" fillId="0" borderId="22" xfId="0" applyNumberFormat="1" applyFont="1" applyBorder="1" applyAlignment="1"/>
    <xf numFmtId="178" fontId="62" fillId="0" borderId="33" xfId="0" applyNumberFormat="1" applyFont="1" applyBorder="1" applyAlignment="1"/>
    <xf numFmtId="178" fontId="62" fillId="0" borderId="21" xfId="0" applyNumberFormat="1" applyFont="1" applyBorder="1" applyAlignment="1"/>
    <xf numFmtId="21" fontId="60" fillId="25" borderId="67" xfId="0" applyNumberFormat="1" applyFont="1" applyFill="1" applyBorder="1" applyAlignment="1">
      <alignment horizontal="left" vertical="top"/>
    </xf>
    <xf numFmtId="176" fontId="62" fillId="25" borderId="11" xfId="0" applyNumberFormat="1" applyFont="1" applyFill="1" applyBorder="1" applyAlignment="1">
      <alignment horizontal="center"/>
    </xf>
    <xf numFmtId="21" fontId="62" fillId="25" borderId="74" xfId="0" applyNumberFormat="1" applyFont="1" applyFill="1" applyBorder="1" applyAlignment="1">
      <alignment horizontal="left"/>
    </xf>
    <xf numFmtId="181" fontId="62" fillId="0" borderId="22" xfId="0" applyNumberFormat="1" applyFont="1" applyBorder="1" applyAlignment="1">
      <alignment horizontal="right" vertical="top"/>
    </xf>
    <xf numFmtId="181" fontId="62" fillId="0" borderId="33" xfId="0" applyNumberFormat="1" applyFont="1" applyBorder="1" applyAlignment="1">
      <alignment horizontal="right" vertical="top"/>
    </xf>
    <xf numFmtId="181" fontId="62" fillId="0" borderId="21" xfId="0" applyNumberFormat="1" applyFont="1" applyBorder="1" applyAlignment="1">
      <alignment horizontal="right"/>
    </xf>
    <xf numFmtId="21" fontId="62" fillId="25" borderId="63" xfId="0" applyNumberFormat="1" applyFont="1" applyFill="1" applyBorder="1" applyAlignment="1">
      <alignment horizontal="left"/>
    </xf>
    <xf numFmtId="2" fontId="62" fillId="25" borderId="10" xfId="0" applyNumberFormat="1" applyFont="1" applyFill="1" applyBorder="1" applyAlignment="1">
      <alignment horizontal="center"/>
    </xf>
    <xf numFmtId="2" fontId="62" fillId="25" borderId="11" xfId="0" applyNumberFormat="1" applyFont="1" applyFill="1" applyBorder="1" applyAlignment="1">
      <alignment horizontal="center"/>
    </xf>
    <xf numFmtId="2" fontId="62" fillId="25" borderId="12" xfId="0" applyNumberFormat="1" applyFont="1" applyFill="1" applyBorder="1" applyAlignment="1">
      <alignment horizontal="center"/>
    </xf>
    <xf numFmtId="176" fontId="62" fillId="25" borderId="13" xfId="0" applyNumberFormat="1" applyFont="1" applyFill="1" applyBorder="1" applyAlignment="1">
      <alignment horizontal="right" vertical="center"/>
    </xf>
    <xf numFmtId="180" fontId="62" fillId="25" borderId="66" xfId="0" applyNumberFormat="1" applyFont="1" applyFill="1" applyBorder="1" applyAlignment="1">
      <alignment horizontal="left" vertical="center"/>
    </xf>
    <xf numFmtId="21" fontId="62" fillId="25" borderId="58" xfId="0" applyNumberFormat="1" applyFont="1" applyFill="1" applyBorder="1" applyAlignment="1">
      <alignment horizontal="left"/>
    </xf>
    <xf numFmtId="176" fontId="62" fillId="0" borderId="10" xfId="0" applyNumberFormat="1" applyFont="1" applyBorder="1" applyAlignment="1"/>
    <xf numFmtId="0" fontId="62" fillId="0" borderId="10" xfId="0" applyFont="1" applyBorder="1" applyAlignment="1">
      <alignment horizontal="left"/>
    </xf>
    <xf numFmtId="176" fontId="62" fillId="0" borderId="11" xfId="0" applyNumberFormat="1" applyFont="1" applyBorder="1" applyAlignment="1"/>
    <xf numFmtId="0" fontId="62" fillId="0" borderId="11" xfId="0" applyFont="1" applyBorder="1" applyAlignment="1">
      <alignment horizontal="left"/>
    </xf>
    <xf numFmtId="176" fontId="62" fillId="0" borderId="12" xfId="0" applyNumberFormat="1" applyFont="1" applyBorder="1" applyAlignment="1"/>
    <xf numFmtId="0" fontId="62" fillId="0" borderId="12" xfId="0" applyFont="1" applyBorder="1" applyAlignment="1">
      <alignment horizontal="left"/>
    </xf>
    <xf numFmtId="176" fontId="62" fillId="0" borderId="13" xfId="0" applyNumberFormat="1" applyFont="1" applyBorder="1" applyAlignment="1"/>
    <xf numFmtId="176" fontId="62" fillId="0" borderId="11" xfId="0" applyNumberFormat="1" applyFont="1" applyBorder="1" applyAlignment="1">
      <alignment horizontal="right" vertical="center"/>
    </xf>
    <xf numFmtId="0" fontId="62" fillId="0" borderId="13" xfId="0" applyFont="1" applyBorder="1" applyAlignment="1">
      <alignment horizontal="left"/>
    </xf>
    <xf numFmtId="56" fontId="57" fillId="25" borderId="32" xfId="0" applyNumberFormat="1" applyFont="1" applyFill="1" applyBorder="1" applyAlignment="1">
      <alignment horizontal="right" vertical="center"/>
    </xf>
    <xf numFmtId="180" fontId="57" fillId="25" borderId="41" xfId="0" applyNumberFormat="1" applyFont="1" applyFill="1" applyBorder="1" applyAlignment="1">
      <alignment horizontal="center" vertical="center"/>
    </xf>
    <xf numFmtId="0" fontId="54" fillId="0" borderId="0" xfId="0" applyFont="1" applyAlignment="1">
      <alignment horizontal="center" vertical="center"/>
    </xf>
    <xf numFmtId="0" fontId="54" fillId="0" borderId="0" xfId="0" applyFont="1">
      <alignment vertical="center"/>
    </xf>
    <xf numFmtId="0" fontId="51" fillId="0" borderId="0" xfId="0" applyFont="1" applyAlignment="1">
      <alignment horizontal="center" vertical="center"/>
    </xf>
    <xf numFmtId="0" fontId="51" fillId="0" borderId="0" xfId="0" applyFont="1">
      <alignment vertical="center"/>
    </xf>
    <xf numFmtId="0" fontId="67" fillId="0" borderId="0" xfId="0" applyFont="1" applyAlignment="1"/>
    <xf numFmtId="0" fontId="60" fillId="0" borderId="0" xfId="0" applyFont="1" applyAlignment="1">
      <alignment horizontal="right" vertical="center" shrinkToFit="1"/>
    </xf>
    <xf numFmtId="0" fontId="60" fillId="0" borderId="0" xfId="0" applyFont="1" applyAlignment="1">
      <alignment vertical="center" shrinkToFit="1"/>
    </xf>
    <xf numFmtId="0" fontId="57" fillId="0" borderId="0" xfId="0" applyFont="1" applyAlignment="1"/>
    <xf numFmtId="176" fontId="63" fillId="25" borderId="31" xfId="0" applyNumberFormat="1" applyFont="1" applyFill="1" applyBorder="1" applyAlignment="1">
      <alignment horizontal="center" vertical="center"/>
    </xf>
    <xf numFmtId="176" fontId="63" fillId="25" borderId="90" xfId="0" applyNumberFormat="1" applyFont="1" applyFill="1" applyBorder="1" applyAlignment="1">
      <alignment horizontal="center" vertical="center"/>
    </xf>
    <xf numFmtId="0" fontId="56" fillId="0" borderId="0" xfId="0" applyFont="1" applyAlignment="1"/>
    <xf numFmtId="0" fontId="68" fillId="0" borderId="0" xfId="0" applyFont="1" applyAlignment="1"/>
    <xf numFmtId="0" fontId="63" fillId="25" borderId="90" xfId="0" applyFont="1" applyFill="1" applyBorder="1" applyAlignment="1">
      <alignment horizontal="center" vertical="center"/>
    </xf>
    <xf numFmtId="184" fontId="60" fillId="25" borderId="24" xfId="0" applyNumberFormat="1" applyFont="1" applyFill="1" applyBorder="1" applyAlignment="1">
      <alignment horizontal="center" vertical="center"/>
    </xf>
    <xf numFmtId="184" fontId="60" fillId="25" borderId="25" xfId="0" applyNumberFormat="1" applyFont="1" applyFill="1" applyBorder="1" applyAlignment="1">
      <alignment horizontal="center" vertical="center"/>
    </xf>
    <xf numFmtId="184" fontId="60" fillId="25" borderId="91" xfId="0" applyNumberFormat="1" applyFont="1" applyFill="1" applyBorder="1" applyAlignment="1">
      <alignment horizontal="center" vertical="center"/>
    </xf>
    <xf numFmtId="183" fontId="63" fillId="25" borderId="24" xfId="0" applyNumberFormat="1" applyFont="1" applyFill="1" applyBorder="1" applyAlignment="1">
      <alignment horizontal="center" vertical="center" wrapText="1"/>
    </xf>
    <xf numFmtId="0" fontId="60" fillId="0" borderId="102" xfId="0" applyFont="1" applyBorder="1" applyAlignment="1">
      <alignment horizontal="center" vertical="center" wrapText="1"/>
    </xf>
    <xf numFmtId="0" fontId="60" fillId="0" borderId="0" xfId="0" applyFont="1" applyAlignment="1">
      <alignment horizontal="center" vertical="center" wrapText="1"/>
    </xf>
    <xf numFmtId="0" fontId="60" fillId="0" borderId="77" xfId="0" applyFont="1" applyBorder="1" applyAlignment="1">
      <alignment horizontal="center" vertical="center"/>
    </xf>
    <xf numFmtId="0" fontId="62" fillId="0" borderId="77" xfId="0" applyFont="1" applyBorder="1" applyAlignment="1">
      <alignment horizontal="center" vertical="center" wrapText="1"/>
    </xf>
    <xf numFmtId="0" fontId="60" fillId="0" borderId="14" xfId="0" applyFont="1" applyBorder="1" applyAlignment="1">
      <alignment horizontal="center" vertical="center" shrinkToFit="1"/>
    </xf>
    <xf numFmtId="0" fontId="60" fillId="0" borderId="0" xfId="0" applyFont="1" applyAlignment="1">
      <alignment horizontal="center"/>
    </xf>
    <xf numFmtId="0" fontId="60" fillId="0" borderId="78" xfId="0" applyFont="1" applyBorder="1" applyAlignment="1">
      <alignment horizontal="center" vertical="center" wrapText="1"/>
    </xf>
    <xf numFmtId="176" fontId="60" fillId="0" borderId="36" xfId="0" quotePrefix="1" applyNumberFormat="1" applyFont="1" applyBorder="1" applyAlignment="1">
      <alignment horizontal="center"/>
    </xf>
    <xf numFmtId="179" fontId="62" fillId="0" borderId="10" xfId="0" quotePrefix="1" applyNumberFormat="1" applyFont="1" applyBorder="1" applyAlignment="1">
      <alignment horizontal="right"/>
    </xf>
    <xf numFmtId="179" fontId="62" fillId="0" borderId="10" xfId="0" quotePrefix="1" applyNumberFormat="1" applyFont="1" applyBorder="1" applyAlignment="1"/>
    <xf numFmtId="179" fontId="62" fillId="0" borderId="10" xfId="0" applyNumberFormat="1" applyFont="1" applyBorder="1" applyAlignment="1"/>
    <xf numFmtId="0" fontId="60" fillId="0" borderId="10" xfId="0" applyFont="1" applyBorder="1" applyAlignment="1">
      <alignment horizontal="center"/>
    </xf>
    <xf numFmtId="0" fontId="60" fillId="0" borderId="79" xfId="0" applyFont="1" applyBorder="1" applyAlignment="1">
      <alignment horizontal="center"/>
    </xf>
    <xf numFmtId="179" fontId="62" fillId="0" borderId="0" xfId="0" applyNumberFormat="1" applyFont="1" applyAlignment="1">
      <alignment horizontal="center"/>
    </xf>
    <xf numFmtId="176" fontId="60" fillId="0" borderId="10" xfId="0" quotePrefix="1" applyNumberFormat="1" applyFont="1" applyBorder="1" applyAlignment="1">
      <alignment horizontal="center"/>
    </xf>
    <xf numFmtId="182" fontId="62" fillId="0" borderId="11" xfId="0" applyNumberFormat="1" applyFont="1" applyBorder="1" applyAlignment="1">
      <alignment horizontal="right" shrinkToFit="1"/>
    </xf>
    <xf numFmtId="176" fontId="60" fillId="0" borderId="37" xfId="0" quotePrefix="1" applyNumberFormat="1" applyFont="1" applyBorder="1" applyAlignment="1">
      <alignment horizontal="center"/>
    </xf>
    <xf numFmtId="179" fontId="62" fillId="0" borderId="11" xfId="0" quotePrefix="1" applyNumberFormat="1" applyFont="1" applyBorder="1" applyAlignment="1">
      <alignment horizontal="right"/>
    </xf>
    <xf numFmtId="179" fontId="62" fillId="0" borderId="11" xfId="0" applyNumberFormat="1" applyFont="1" applyBorder="1" applyAlignment="1"/>
    <xf numFmtId="0" fontId="60" fillId="0" borderId="11" xfId="0" applyFont="1" applyBorder="1" applyAlignment="1">
      <alignment horizontal="center"/>
    </xf>
    <xf numFmtId="0" fontId="60" fillId="0" borderId="80" xfId="0" applyFont="1" applyBorder="1" applyAlignment="1">
      <alignment horizontal="center"/>
    </xf>
    <xf numFmtId="179" fontId="62" fillId="0" borderId="0" xfId="0" quotePrefix="1" applyNumberFormat="1" applyFont="1" applyAlignment="1">
      <alignment horizontal="center"/>
    </xf>
    <xf numFmtId="176" fontId="60" fillId="0" borderId="11" xfId="0" quotePrefix="1" applyNumberFormat="1" applyFont="1" applyBorder="1" applyAlignment="1">
      <alignment horizontal="center"/>
    </xf>
    <xf numFmtId="179" fontId="69" fillId="0" borderId="11" xfId="0" quotePrefix="1" applyNumberFormat="1" applyFont="1" applyBorder="1" applyAlignment="1">
      <alignment horizontal="right"/>
    </xf>
    <xf numFmtId="179" fontId="70" fillId="0" borderId="11" xfId="0" quotePrefix="1" applyNumberFormat="1" applyFont="1" applyBorder="1" applyAlignment="1">
      <alignment horizontal="right"/>
    </xf>
    <xf numFmtId="179" fontId="62" fillId="0" borderId="11" xfId="0" quotePrefix="1" applyNumberFormat="1" applyFont="1" applyBorder="1" applyAlignment="1"/>
    <xf numFmtId="179" fontId="69" fillId="0" borderId="11" xfId="0" quotePrefix="1" applyNumberFormat="1" applyFont="1" applyBorder="1" applyAlignment="1"/>
    <xf numFmtId="176" fontId="60" fillId="0" borderId="38" xfId="0" quotePrefix="1" applyNumberFormat="1" applyFont="1" applyBorder="1" applyAlignment="1">
      <alignment horizontal="center"/>
    </xf>
    <xf numFmtId="0" fontId="62" fillId="0" borderId="49" xfId="0" applyFont="1" applyBorder="1" applyAlignment="1">
      <alignment horizontal="left"/>
    </xf>
    <xf numFmtId="179" fontId="62" fillId="0" borderId="12" xfId="0" quotePrefix="1" applyNumberFormat="1" applyFont="1" applyBorder="1" applyAlignment="1">
      <alignment horizontal="right"/>
    </xf>
    <xf numFmtId="179" fontId="70" fillId="0" borderId="12" xfId="0" quotePrefix="1" applyNumberFormat="1" applyFont="1" applyBorder="1" applyAlignment="1">
      <alignment horizontal="right"/>
    </xf>
    <xf numFmtId="179" fontId="62" fillId="0" borderId="12" xfId="0" applyNumberFormat="1" applyFont="1" applyBorder="1" applyAlignment="1"/>
    <xf numFmtId="0" fontId="60" fillId="0" borderId="12" xfId="0" applyFont="1" applyBorder="1" applyAlignment="1">
      <alignment horizontal="center"/>
    </xf>
    <xf numFmtId="0" fontId="60" fillId="0" borderId="81" xfId="0" applyFont="1" applyBorder="1" applyAlignment="1">
      <alignment horizontal="center"/>
    </xf>
    <xf numFmtId="176" fontId="60" fillId="0" borderId="12" xfId="0" quotePrefix="1" applyNumberFormat="1" applyFont="1" applyBorder="1" applyAlignment="1">
      <alignment horizontal="center"/>
    </xf>
    <xf numFmtId="182" fontId="62" fillId="0" borderId="12" xfId="0" applyNumberFormat="1" applyFont="1" applyBorder="1" applyAlignment="1">
      <alignment horizontal="right" shrinkToFit="1"/>
    </xf>
    <xf numFmtId="179" fontId="62" fillId="0" borderId="12" xfId="0" applyNumberFormat="1" applyFont="1" applyBorder="1" applyAlignment="1">
      <alignment horizontal="right"/>
    </xf>
    <xf numFmtId="179" fontId="69" fillId="0" borderId="12" xfId="0" quotePrefix="1" applyNumberFormat="1" applyFont="1" applyBorder="1" applyAlignment="1">
      <alignment horizontal="right"/>
    </xf>
    <xf numFmtId="179" fontId="62" fillId="0" borderId="10" xfId="0" applyNumberFormat="1" applyFont="1" applyBorder="1" applyAlignment="1">
      <alignment horizontal="right"/>
    </xf>
    <xf numFmtId="179" fontId="62" fillId="0" borderId="13" xfId="0" applyNumberFormat="1" applyFont="1" applyBorder="1" applyAlignment="1"/>
    <xf numFmtId="0" fontId="60" fillId="0" borderId="13" xfId="0" applyFont="1" applyBorder="1" applyAlignment="1">
      <alignment horizontal="center"/>
    </xf>
    <xf numFmtId="0" fontId="60" fillId="0" borderId="82" xfId="0" applyFont="1" applyBorder="1" applyAlignment="1">
      <alignment horizontal="center"/>
    </xf>
    <xf numFmtId="182" fontId="62" fillId="0" borderId="13" xfId="0" applyNumberFormat="1" applyFont="1" applyBorder="1" applyAlignment="1">
      <alignment horizontal="right" shrinkToFit="1"/>
    </xf>
    <xf numFmtId="179" fontId="69" fillId="0" borderId="10" xfId="0" quotePrefix="1" applyNumberFormat="1" applyFont="1" applyBorder="1" applyAlignment="1">
      <alignment horizontal="right"/>
    </xf>
    <xf numFmtId="0" fontId="60" fillId="0" borderId="67" xfId="0" applyFont="1" applyBorder="1" applyAlignment="1">
      <alignment horizontal="center"/>
    </xf>
    <xf numFmtId="179" fontId="62" fillId="0" borderId="11" xfId="0" applyNumberFormat="1" applyFont="1" applyBorder="1" applyAlignment="1">
      <alignment horizontal="right"/>
    </xf>
    <xf numFmtId="0" fontId="60" fillId="0" borderId="74" xfId="0" applyFont="1" applyBorder="1" applyAlignment="1">
      <alignment horizontal="center"/>
    </xf>
    <xf numFmtId="0" fontId="60" fillId="0" borderId="63" xfId="0" applyFont="1" applyBorder="1" applyAlignment="1">
      <alignment horizontal="center"/>
    </xf>
    <xf numFmtId="179" fontId="70" fillId="0" borderId="10" xfId="0" quotePrefix="1" applyNumberFormat="1" applyFont="1" applyBorder="1" applyAlignment="1">
      <alignment horizontal="right"/>
    </xf>
    <xf numFmtId="176" fontId="62" fillId="0" borderId="13" xfId="0" applyNumberFormat="1" applyFont="1" applyBorder="1" applyAlignment="1">
      <alignment horizontal="right" vertical="center"/>
    </xf>
    <xf numFmtId="179" fontId="62" fillId="0" borderId="13" xfId="0" quotePrefix="1" applyNumberFormat="1" applyFont="1" applyBorder="1" applyAlignment="1">
      <alignment horizontal="right"/>
    </xf>
    <xf numFmtId="179" fontId="69" fillId="0" borderId="13" xfId="0" quotePrefix="1" applyNumberFormat="1" applyFont="1" applyBorder="1" applyAlignment="1">
      <alignment horizontal="right"/>
    </xf>
    <xf numFmtId="0" fontId="62" fillId="0" borderId="0" xfId="0" quotePrefix="1" applyFont="1" applyAlignment="1">
      <alignment horizontal="center"/>
    </xf>
    <xf numFmtId="179" fontId="69" fillId="0" borderId="10" xfId="0" applyNumberFormat="1" applyFont="1" applyBorder="1" applyAlignment="1">
      <alignment horizontal="right"/>
    </xf>
    <xf numFmtId="0" fontId="60" fillId="0" borderId="89" xfId="0" applyFont="1" applyBorder="1" applyAlignment="1">
      <alignment horizontal="center"/>
    </xf>
    <xf numFmtId="176" fontId="60" fillId="0" borderId="39" xfId="0" quotePrefix="1" applyNumberFormat="1" applyFont="1" applyBorder="1" applyAlignment="1">
      <alignment horizontal="center"/>
    </xf>
    <xf numFmtId="179" fontId="62" fillId="0" borderId="13" xfId="0" applyNumberFormat="1" applyFont="1" applyBorder="1" applyAlignment="1">
      <alignment horizontal="right"/>
    </xf>
    <xf numFmtId="179" fontId="70" fillId="0" borderId="13" xfId="0" applyNumberFormat="1" applyFont="1" applyBorder="1" applyAlignment="1">
      <alignment horizontal="right"/>
    </xf>
    <xf numFmtId="0" fontId="62" fillId="0" borderId="11" xfId="0" applyFont="1" applyBorder="1" applyAlignment="1">
      <alignment horizontal="left" shrinkToFit="1"/>
    </xf>
    <xf numFmtId="176" fontId="60" fillId="0" borderId="86" xfId="0" quotePrefix="1" applyNumberFormat="1" applyFont="1" applyBorder="1" applyAlignment="1">
      <alignment horizontal="center"/>
    </xf>
    <xf numFmtId="176" fontId="62" fillId="0" borderId="87" xfId="0" applyNumberFormat="1" applyFont="1" applyBorder="1" applyAlignment="1"/>
    <xf numFmtId="0" fontId="62" fillId="0" borderId="87" xfId="0" applyFont="1" applyBorder="1" applyAlignment="1">
      <alignment horizontal="left"/>
    </xf>
    <xf numFmtId="179" fontId="62" fillId="0" borderId="87" xfId="0" quotePrefix="1" applyNumberFormat="1" applyFont="1" applyBorder="1" applyAlignment="1">
      <alignment horizontal="right"/>
    </xf>
    <xf numFmtId="179" fontId="62" fillId="0" borderId="87" xfId="0" applyNumberFormat="1" applyFont="1" applyBorder="1" applyAlignment="1"/>
    <xf numFmtId="0" fontId="60" fillId="0" borderId="87" xfId="0" applyFont="1" applyBorder="1" applyAlignment="1">
      <alignment horizontal="center"/>
    </xf>
    <xf numFmtId="0" fontId="60" fillId="0" borderId="88" xfId="0" applyFont="1" applyBorder="1" applyAlignment="1">
      <alignment horizontal="center"/>
    </xf>
    <xf numFmtId="0" fontId="62" fillId="0" borderId="12" xfId="0" applyFont="1" applyBorder="1" applyAlignment="1">
      <alignment horizontal="left" shrinkToFit="1"/>
    </xf>
    <xf numFmtId="176" fontId="62" fillId="0" borderId="83" xfId="0" quotePrefix="1" applyNumberFormat="1" applyFont="1" applyBorder="1" applyAlignment="1">
      <alignment horizontal="center"/>
    </xf>
    <xf numFmtId="0" fontId="60" fillId="0" borderId="83" xfId="0" applyFont="1" applyBorder="1" applyAlignment="1">
      <alignment horizontal="center"/>
    </xf>
    <xf numFmtId="0" fontId="60" fillId="0" borderId="84" xfId="0" applyFont="1" applyBorder="1" applyAlignment="1">
      <alignment horizontal="center"/>
    </xf>
    <xf numFmtId="0" fontId="60" fillId="0" borderId="85" xfId="0" applyFont="1" applyBorder="1" applyAlignment="1">
      <alignment horizontal="center"/>
    </xf>
    <xf numFmtId="0" fontId="62" fillId="0" borderId="13" xfId="0" applyFont="1" applyBorder="1" applyAlignment="1">
      <alignment horizontal="left" shrinkToFit="1"/>
    </xf>
    <xf numFmtId="0" fontId="60" fillId="0" borderId="14" xfId="0" applyFont="1" applyBorder="1" applyAlignment="1"/>
    <xf numFmtId="14" fontId="60" fillId="0" borderId="0" xfId="0" applyNumberFormat="1" applyFont="1" applyAlignment="1"/>
    <xf numFmtId="0" fontId="60" fillId="0" borderId="0" xfId="0" applyFont="1" applyAlignment="1">
      <alignment horizontal="center" shrinkToFit="1"/>
    </xf>
    <xf numFmtId="0" fontId="60" fillId="0" borderId="0" xfId="0" applyFont="1" applyAlignment="1">
      <alignment shrinkToFit="1"/>
    </xf>
    <xf numFmtId="0" fontId="60" fillId="0" borderId="50" xfId="0" applyFont="1" applyBorder="1" applyAlignment="1"/>
    <xf numFmtId="0" fontId="60" fillId="0" borderId="51" xfId="0" applyFont="1" applyBorder="1" applyAlignment="1"/>
    <xf numFmtId="0" fontId="60" fillId="0" borderId="52" xfId="0" applyFont="1" applyBorder="1" applyAlignment="1"/>
    <xf numFmtId="0" fontId="60" fillId="0" borderId="53" xfId="0" applyFont="1" applyBorder="1" applyAlignment="1">
      <alignment shrinkToFit="1"/>
    </xf>
    <xf numFmtId="0" fontId="60" fillId="0" borderId="0" xfId="0" applyFont="1" applyAlignment="1">
      <alignment horizontal="right"/>
    </xf>
    <xf numFmtId="0" fontId="60" fillId="0" borderId="54" xfId="0" applyFont="1" applyBorder="1" applyAlignment="1">
      <alignment horizontal="right"/>
    </xf>
    <xf numFmtId="0" fontId="61" fillId="0" borderId="0" xfId="0" applyFont="1" applyAlignment="1">
      <alignment horizontal="left"/>
    </xf>
    <xf numFmtId="0" fontId="60" fillId="0" borderId="0" xfId="0" applyFont="1" applyAlignment="1">
      <alignment wrapText="1" shrinkToFit="1"/>
    </xf>
    <xf numFmtId="0" fontId="71" fillId="0" borderId="0" xfId="0" applyFont="1" applyAlignment="1">
      <alignment horizontal="left" readingOrder="1"/>
    </xf>
    <xf numFmtId="0" fontId="60" fillId="0" borderId="55" xfId="0" applyFont="1" applyBorder="1" applyAlignment="1"/>
    <xf numFmtId="0" fontId="60" fillId="0" borderId="56" xfId="0" applyFont="1" applyBorder="1" applyAlignment="1"/>
    <xf numFmtId="0" fontId="60" fillId="0" borderId="57" xfId="0" applyFont="1" applyBorder="1" applyAlignment="1"/>
    <xf numFmtId="20" fontId="49" fillId="0" borderId="14" xfId="0" applyNumberFormat="1" applyFont="1" applyBorder="1">
      <alignment vertical="center"/>
    </xf>
    <xf numFmtId="0" fontId="49" fillId="0" borderId="29" xfId="0" applyFont="1" applyBorder="1" applyAlignment="1">
      <alignment horizontal="center" vertical="center"/>
    </xf>
    <xf numFmtId="0" fontId="0" fillId="27" borderId="14" xfId="0" applyFill="1" applyBorder="1" applyAlignment="1">
      <alignment horizontal="center"/>
    </xf>
    <xf numFmtId="38" fontId="47" fillId="25" borderId="98" xfId="46" applyFont="1" applyFill="1" applyBorder="1" applyAlignment="1">
      <alignment horizontal="left" vertical="center"/>
    </xf>
    <xf numFmtId="0" fontId="72" fillId="0" borderId="14" xfId="0" applyFont="1" applyBorder="1" applyAlignment="1"/>
    <xf numFmtId="0" fontId="73" fillId="0" borderId="14" xfId="0" applyFont="1" applyBorder="1" applyAlignment="1">
      <alignment horizontal="center" vertical="center" shrinkToFit="1"/>
    </xf>
    <xf numFmtId="2" fontId="73" fillId="0" borderId="16" xfId="0" applyNumberFormat="1" applyFont="1" applyBorder="1">
      <alignment vertical="center"/>
    </xf>
    <xf numFmtId="2" fontId="73" fillId="0" borderId="14" xfId="0" applyNumberFormat="1" applyFont="1" applyBorder="1" applyAlignment="1">
      <alignment vertical="center" shrinkToFit="1"/>
    </xf>
    <xf numFmtId="2" fontId="73" fillId="0" borderId="17" xfId="0" applyNumberFormat="1" applyFont="1" applyBorder="1">
      <alignment vertical="center"/>
    </xf>
    <xf numFmtId="182" fontId="73" fillId="0" borderId="98" xfId="0" applyNumberFormat="1" applyFont="1" applyBorder="1">
      <alignment vertical="center"/>
    </xf>
    <xf numFmtId="182" fontId="73" fillId="0" borderId="14" xfId="0" applyNumberFormat="1" applyFont="1" applyBorder="1">
      <alignment vertical="center"/>
    </xf>
    <xf numFmtId="182" fontId="73" fillId="0" borderId="17" xfId="0" applyNumberFormat="1" applyFont="1" applyBorder="1">
      <alignment vertical="center"/>
    </xf>
    <xf numFmtId="182" fontId="73" fillId="0" borderId="0" xfId="0" quotePrefix="1" applyNumberFormat="1" applyFont="1">
      <alignment vertical="center"/>
    </xf>
    <xf numFmtId="0" fontId="51" fillId="25" borderId="0" xfId="0" applyFont="1" applyFill="1" applyAlignment="1">
      <alignment horizontal="center"/>
    </xf>
    <xf numFmtId="0" fontId="50" fillId="29" borderId="94" xfId="0" applyFont="1" applyFill="1" applyBorder="1" applyAlignment="1">
      <alignment vertical="top" wrapText="1"/>
    </xf>
    <xf numFmtId="0" fontId="50" fillId="29" borderId="92" xfId="0" applyFont="1" applyFill="1" applyBorder="1" applyAlignment="1">
      <alignment vertical="top" wrapText="1"/>
    </xf>
    <xf numFmtId="0" fontId="50" fillId="29" borderId="84" xfId="0" applyFont="1" applyFill="1" applyBorder="1" applyAlignment="1">
      <alignment vertical="top" wrapText="1"/>
    </xf>
    <xf numFmtId="180" fontId="57" fillId="25" borderId="0" xfId="0" applyNumberFormat="1" applyFont="1" applyFill="1" applyBorder="1" applyAlignment="1">
      <alignment horizontal="center" vertical="center"/>
    </xf>
    <xf numFmtId="0" fontId="54" fillId="25" borderId="0" xfId="0" applyFont="1" applyFill="1" applyBorder="1" applyAlignment="1">
      <alignment horizontal="left" vertical="center"/>
    </xf>
    <xf numFmtId="0" fontId="57" fillId="25" borderId="0" xfId="0" applyFont="1" applyFill="1" applyBorder="1" applyAlignment="1">
      <alignment horizontal="center"/>
    </xf>
    <xf numFmtId="0" fontId="62" fillId="25" borderId="0" xfId="0" applyFont="1" applyFill="1" applyBorder="1" applyAlignment="1"/>
    <xf numFmtId="0" fontId="62" fillId="25" borderId="0" xfId="0" applyFont="1" applyFill="1" applyBorder="1" applyAlignment="1">
      <alignment horizontal="left" vertical="top" wrapText="1"/>
    </xf>
    <xf numFmtId="0" fontId="55" fillId="25" borderId="31" xfId="0" applyFont="1" applyFill="1" applyBorder="1" applyAlignment="1">
      <alignment horizontal="center"/>
    </xf>
    <xf numFmtId="180" fontId="59" fillId="25" borderId="41" xfId="0" applyNumberFormat="1" applyFont="1" applyFill="1" applyBorder="1" applyAlignment="1">
      <alignment horizontal="center" vertical="center" wrapText="1"/>
    </xf>
    <xf numFmtId="21" fontId="62" fillId="25" borderId="58" xfId="0" applyNumberFormat="1" applyFont="1" applyFill="1" applyBorder="1" applyAlignment="1">
      <alignment horizontal="center"/>
    </xf>
    <xf numFmtId="21" fontId="62" fillId="25" borderId="67" xfId="0" applyNumberFormat="1" applyFont="1" applyFill="1" applyBorder="1" applyAlignment="1">
      <alignment horizontal="center" vertical="top"/>
    </xf>
    <xf numFmtId="0" fontId="69" fillId="25" borderId="0" xfId="0" applyFont="1" applyFill="1" applyAlignment="1">
      <alignment horizontal="center" vertical="center"/>
    </xf>
    <xf numFmtId="186" fontId="75" fillId="0" borderId="16" xfId="0" applyNumberFormat="1" applyFont="1" applyBorder="1" applyAlignment="1"/>
    <xf numFmtId="186" fontId="75" fillId="0" borderId="14" xfId="0" applyNumberFormat="1" applyFont="1" applyBorder="1" applyAlignment="1"/>
    <xf numFmtId="186" fontId="75" fillId="0" borderId="17" xfId="0" applyNumberFormat="1" applyFont="1" applyBorder="1" applyAlignment="1"/>
    <xf numFmtId="178" fontId="75" fillId="0" borderId="36" xfId="0" applyNumberFormat="1" applyFont="1" applyBorder="1" applyAlignment="1"/>
    <xf numFmtId="178" fontId="75" fillId="0" borderId="10" xfId="0" applyNumberFormat="1" applyFont="1" applyBorder="1" applyAlignment="1"/>
    <xf numFmtId="178" fontId="75" fillId="0" borderId="45" xfId="0" applyNumberFormat="1" applyFont="1" applyBorder="1" applyAlignment="1"/>
    <xf numFmtId="0" fontId="75" fillId="0" borderId="0" xfId="0" applyFont="1" applyAlignment="1"/>
    <xf numFmtId="0" fontId="9" fillId="0" borderId="77" xfId="0" applyFont="1" applyBorder="1" applyAlignment="1">
      <alignment horizontal="center" vertical="center" shrinkToFit="1"/>
    </xf>
    <xf numFmtId="0" fontId="19" fillId="24" borderId="14" xfId="0" applyFont="1" applyFill="1" applyBorder="1" applyAlignment="1"/>
    <xf numFmtId="0" fontId="49" fillId="27" borderId="14" xfId="0" applyFont="1" applyFill="1" applyBorder="1" applyAlignment="1">
      <alignment horizontal="center"/>
    </xf>
    <xf numFmtId="176" fontId="62" fillId="25" borderId="11" xfId="0" applyNumberFormat="1" applyFont="1" applyFill="1" applyBorder="1" applyAlignment="1">
      <alignment horizontal="right" vertical="center"/>
    </xf>
    <xf numFmtId="176" fontId="62" fillId="25" borderId="13" xfId="0" applyNumberFormat="1" applyFont="1" applyFill="1" applyBorder="1" applyAlignment="1">
      <alignment horizontal="center"/>
    </xf>
    <xf numFmtId="21" fontId="60" fillId="25" borderId="74" xfId="0" applyNumberFormat="1" applyFont="1" applyFill="1" applyBorder="1" applyAlignment="1">
      <alignment horizontal="left" vertical="top"/>
    </xf>
    <xf numFmtId="21" fontId="62" fillId="25" borderId="0" xfId="0" applyNumberFormat="1" applyFont="1" applyFill="1" applyBorder="1" applyAlignment="1">
      <alignment horizontal="center"/>
    </xf>
    <xf numFmtId="0" fontId="56" fillId="25" borderId="67" xfId="0" applyFont="1" applyFill="1" applyBorder="1">
      <alignment vertical="center"/>
    </xf>
    <xf numFmtId="180" fontId="62" fillId="25" borderId="63" xfId="0" applyNumberFormat="1" applyFont="1" applyFill="1" applyBorder="1" applyAlignment="1">
      <alignment horizontal="left" vertical="center"/>
    </xf>
    <xf numFmtId="21" fontId="62" fillId="25" borderId="66" xfId="0" applyNumberFormat="1" applyFont="1" applyFill="1" applyBorder="1" applyAlignment="1">
      <alignment horizontal="left"/>
    </xf>
    <xf numFmtId="176" fontId="62" fillId="25" borderId="12" xfId="0" applyNumberFormat="1" applyFont="1" applyFill="1" applyBorder="1" applyAlignment="1">
      <alignment horizontal="right" vertical="center"/>
    </xf>
    <xf numFmtId="2" fontId="62" fillId="25" borderId="13" xfId="0" applyNumberFormat="1" applyFont="1" applyFill="1" applyBorder="1" applyAlignment="1">
      <alignment horizontal="center"/>
    </xf>
    <xf numFmtId="49" fontId="57" fillId="25" borderId="0" xfId="0" applyNumberFormat="1" applyFont="1" applyFill="1" applyAlignment="1"/>
    <xf numFmtId="0" fontId="47" fillId="30" borderId="61" xfId="0" applyFont="1" applyFill="1" applyBorder="1" applyAlignment="1">
      <alignment horizontal="right" vertical="center"/>
    </xf>
    <xf numFmtId="14" fontId="47" fillId="30" borderId="98" xfId="0" applyNumberFormat="1" applyFont="1" applyFill="1" applyBorder="1" applyAlignment="1">
      <alignment horizontal="left" vertical="center"/>
    </xf>
    <xf numFmtId="0" fontId="50" fillId="25" borderId="92" xfId="0" applyFont="1" applyFill="1" applyBorder="1" applyAlignment="1">
      <alignment horizontal="left" vertical="top" wrapText="1"/>
    </xf>
    <xf numFmtId="0" fontId="51" fillId="25" borderId="0" xfId="0" applyFont="1" applyFill="1" applyAlignment="1">
      <alignment horizontal="right" vertical="top"/>
    </xf>
    <xf numFmtId="0" fontId="51" fillId="25" borderId="0" xfId="0" applyFont="1" applyFill="1" applyAlignment="1">
      <alignment horizontal="center" wrapText="1"/>
    </xf>
    <xf numFmtId="0" fontId="51" fillId="25" borderId="0" xfId="0" applyFont="1" applyFill="1" applyAlignment="1">
      <alignment horizontal="center"/>
    </xf>
    <xf numFmtId="0" fontId="57" fillId="25" borderId="107" xfId="0" applyFont="1" applyFill="1" applyBorder="1" applyAlignment="1">
      <alignment horizontal="center"/>
    </xf>
    <xf numFmtId="0" fontId="57" fillId="25" borderId="108" xfId="0" applyFont="1" applyFill="1" applyBorder="1" applyAlignment="1">
      <alignment horizontal="center"/>
    </xf>
    <xf numFmtId="0" fontId="63" fillId="25" borderId="109" xfId="0" applyFont="1" applyFill="1" applyBorder="1" applyAlignment="1">
      <alignment horizontal="left" vertical="top" wrapText="1"/>
    </xf>
    <xf numFmtId="0" fontId="63" fillId="25" borderId="110" xfId="0" applyFont="1" applyFill="1" applyBorder="1" applyAlignment="1">
      <alignment horizontal="left" vertical="top" wrapText="1"/>
    </xf>
    <xf numFmtId="0" fontId="63" fillId="25" borderId="101" xfId="0" applyFont="1" applyFill="1" applyBorder="1" applyAlignment="1">
      <alignment horizontal="left" vertical="top" wrapText="1"/>
    </xf>
    <xf numFmtId="0" fontId="63" fillId="25" borderId="111" xfId="0" applyFont="1" applyFill="1" applyBorder="1" applyAlignment="1">
      <alignment horizontal="left" vertical="top" wrapText="1"/>
    </xf>
    <xf numFmtId="0" fontId="63" fillId="25" borderId="0" xfId="0" applyFont="1" applyFill="1" applyAlignment="1">
      <alignment horizontal="left" vertical="top" wrapText="1"/>
    </xf>
    <xf numFmtId="0" fontId="63" fillId="25" borderId="105" xfId="0" applyFont="1" applyFill="1" applyBorder="1" applyAlignment="1">
      <alignment horizontal="left" vertical="top" wrapText="1"/>
    </xf>
    <xf numFmtId="0" fontId="63" fillId="25" borderId="112" xfId="0" applyFont="1" applyFill="1" applyBorder="1" applyAlignment="1">
      <alignment horizontal="left" vertical="top" wrapText="1"/>
    </xf>
    <xf numFmtId="0" fontId="63" fillId="25" borderId="93" xfId="0" applyFont="1" applyFill="1" applyBorder="1" applyAlignment="1">
      <alignment horizontal="left" vertical="top" wrapText="1"/>
    </xf>
    <xf numFmtId="0" fontId="63" fillId="25" borderId="97" xfId="0" applyFont="1" applyFill="1" applyBorder="1" applyAlignment="1">
      <alignment horizontal="left" vertical="top" wrapText="1"/>
    </xf>
    <xf numFmtId="0" fontId="50" fillId="25" borderId="110" xfId="0" applyFont="1" applyFill="1" applyBorder="1" applyAlignment="1">
      <alignment horizontal="left" vertical="top" wrapText="1"/>
    </xf>
    <xf numFmtId="0" fontId="50" fillId="25" borderId="101" xfId="0" applyFont="1" applyFill="1" applyBorder="1" applyAlignment="1">
      <alignment horizontal="left" vertical="top" wrapText="1"/>
    </xf>
    <xf numFmtId="0" fontId="62" fillId="25" borderId="94" xfId="0" applyFont="1" applyFill="1" applyBorder="1" applyAlignment="1">
      <alignment horizontal="left" vertical="top" wrapText="1"/>
    </xf>
    <xf numFmtId="0" fontId="62" fillId="25" borderId="110" xfId="0" applyFont="1" applyFill="1" applyBorder="1" applyAlignment="1">
      <alignment horizontal="left" vertical="top" wrapText="1"/>
    </xf>
    <xf numFmtId="0" fontId="62" fillId="25" borderId="113" xfId="0" applyFont="1" applyFill="1" applyBorder="1" applyAlignment="1">
      <alignment horizontal="left" vertical="top" wrapText="1"/>
    </xf>
    <xf numFmtId="0" fontId="62" fillId="25" borderId="92" xfId="0" applyFont="1" applyFill="1" applyBorder="1" applyAlignment="1">
      <alignment horizontal="left" vertical="top" wrapText="1"/>
    </xf>
    <xf numFmtId="0" fontId="62" fillId="25" borderId="0" xfId="0" applyFont="1" applyFill="1" applyAlignment="1">
      <alignment horizontal="left" vertical="top" wrapText="1"/>
    </xf>
    <xf numFmtId="0" fontId="62" fillId="25" borderId="25" xfId="0" applyFont="1" applyFill="1" applyBorder="1" applyAlignment="1">
      <alignment horizontal="left" vertical="top" wrapText="1"/>
    </xf>
    <xf numFmtId="0" fontId="62" fillId="25" borderId="84" xfId="0" applyFont="1" applyFill="1" applyBorder="1" applyAlignment="1">
      <alignment horizontal="left" vertical="top" wrapText="1"/>
    </xf>
    <xf numFmtId="0" fontId="62" fillId="25" borderId="34" xfId="0" applyFont="1" applyFill="1" applyBorder="1" applyAlignment="1">
      <alignment horizontal="left" vertical="top" wrapText="1"/>
    </xf>
    <xf numFmtId="0" fontId="62" fillId="25" borderId="114" xfId="0" applyFont="1" applyFill="1" applyBorder="1" applyAlignment="1">
      <alignment horizontal="left" vertical="top" wrapText="1"/>
    </xf>
    <xf numFmtId="0" fontId="50" fillId="25" borderId="0" xfId="0" applyFont="1" applyFill="1" applyAlignment="1">
      <alignment horizontal="left" vertical="top" wrapText="1"/>
    </xf>
    <xf numFmtId="0" fontId="50" fillId="25" borderId="105" xfId="0" applyFont="1" applyFill="1" applyBorder="1" applyAlignment="1">
      <alignment horizontal="left" vertical="top" wrapText="1"/>
    </xf>
    <xf numFmtId="0" fontId="60" fillId="25" borderId="109" xfId="0" applyFont="1" applyFill="1" applyBorder="1" applyAlignment="1">
      <alignment horizontal="left" vertical="top" wrapText="1"/>
    </xf>
    <xf numFmtId="0" fontId="60" fillId="25" borderId="110" xfId="0" applyFont="1" applyFill="1" applyBorder="1" applyAlignment="1">
      <alignment horizontal="left" vertical="top" wrapText="1"/>
    </xf>
    <xf numFmtId="0" fontId="60" fillId="25" borderId="101" xfId="0" applyFont="1" applyFill="1" applyBorder="1" applyAlignment="1">
      <alignment horizontal="left" vertical="top" wrapText="1"/>
    </xf>
    <xf numFmtId="0" fontId="60" fillId="25" borderId="111" xfId="0" applyFont="1" applyFill="1" applyBorder="1" applyAlignment="1">
      <alignment horizontal="left" vertical="top" wrapText="1"/>
    </xf>
    <xf numFmtId="0" fontId="60" fillId="25" borderId="0" xfId="0" applyFont="1" applyFill="1" applyAlignment="1">
      <alignment horizontal="left" vertical="top" wrapText="1"/>
    </xf>
    <xf numFmtId="0" fontId="60" fillId="25" borderId="105" xfId="0" applyFont="1" applyFill="1" applyBorder="1" applyAlignment="1">
      <alignment horizontal="left" vertical="top" wrapText="1"/>
    </xf>
    <xf numFmtId="0" fontId="60" fillId="25" borderId="115" xfId="0" applyFont="1" applyFill="1" applyBorder="1" applyAlignment="1">
      <alignment horizontal="left" vertical="top" wrapText="1"/>
    </xf>
    <xf numFmtId="0" fontId="60" fillId="25" borderId="34" xfId="0" applyFont="1" applyFill="1" applyBorder="1" applyAlignment="1">
      <alignment horizontal="left" vertical="top" wrapText="1"/>
    </xf>
    <xf numFmtId="0" fontId="60" fillId="25" borderId="106" xfId="0" applyFont="1" applyFill="1" applyBorder="1" applyAlignment="1">
      <alignment horizontal="left" vertical="top" wrapText="1"/>
    </xf>
    <xf numFmtId="0" fontId="50" fillId="25" borderId="34" xfId="0" applyFont="1" applyFill="1" applyBorder="1" applyAlignment="1">
      <alignment horizontal="center" vertical="top" wrapText="1"/>
    </xf>
    <xf numFmtId="0" fontId="50" fillId="25" borderId="106" xfId="0" applyFont="1" applyFill="1" applyBorder="1" applyAlignment="1">
      <alignment horizontal="center" vertical="top" wrapText="1"/>
    </xf>
    <xf numFmtId="0" fontId="50" fillId="25" borderId="116" xfId="0" applyFont="1" applyFill="1" applyBorder="1" applyAlignment="1">
      <alignment horizontal="left" vertical="top" wrapText="1"/>
    </xf>
    <xf numFmtId="56" fontId="50" fillId="25" borderId="110" xfId="0" applyNumberFormat="1" applyFont="1" applyFill="1" applyBorder="1" applyAlignment="1">
      <alignment horizontal="left" vertical="top" wrapText="1"/>
    </xf>
    <xf numFmtId="0" fontId="50" fillId="29" borderId="0" xfId="0" applyFont="1" applyFill="1" applyAlignment="1">
      <alignment horizontal="left" vertical="top" wrapText="1"/>
    </xf>
    <xf numFmtId="0" fontId="50" fillId="29" borderId="105" xfId="0" applyFont="1" applyFill="1" applyBorder="1" applyAlignment="1">
      <alignment horizontal="left" vertical="top" wrapText="1"/>
    </xf>
    <xf numFmtId="0" fontId="50" fillId="29" borderId="34" xfId="0" applyFont="1" applyFill="1" applyBorder="1" applyAlignment="1">
      <alignment horizontal="center" vertical="top" wrapText="1"/>
    </xf>
    <xf numFmtId="0" fontId="50" fillId="29" borderId="106" xfId="0" applyFont="1" applyFill="1" applyBorder="1" applyAlignment="1">
      <alignment horizontal="center" vertical="top" wrapText="1"/>
    </xf>
    <xf numFmtId="56" fontId="50" fillId="29" borderId="110" xfId="0" applyNumberFormat="1" applyFont="1" applyFill="1" applyBorder="1" applyAlignment="1">
      <alignment horizontal="left" vertical="top" wrapText="1"/>
    </xf>
    <xf numFmtId="0" fontId="50" fillId="29" borderId="101" xfId="0" applyFont="1" applyFill="1" applyBorder="1" applyAlignment="1">
      <alignment horizontal="left" vertical="top" wrapText="1"/>
    </xf>
    <xf numFmtId="0" fontId="50" fillId="29" borderId="92" xfId="0" applyFont="1" applyFill="1" applyBorder="1" applyAlignment="1">
      <alignment horizontal="left" vertical="top" wrapText="1"/>
    </xf>
    <xf numFmtId="0" fontId="76" fillId="25" borderId="94" xfId="0" applyFont="1" applyFill="1" applyBorder="1" applyAlignment="1">
      <alignment horizontal="left" vertical="top" wrapText="1"/>
    </xf>
    <xf numFmtId="0" fontId="76" fillId="25" borderId="110" xfId="0" applyFont="1" applyFill="1" applyBorder="1" applyAlignment="1">
      <alignment horizontal="left" vertical="top" wrapText="1"/>
    </xf>
    <xf numFmtId="0" fontId="76" fillId="25" borderId="113" xfId="0" applyFont="1" applyFill="1" applyBorder="1" applyAlignment="1">
      <alignment horizontal="left" vertical="top" wrapText="1"/>
    </xf>
    <xf numFmtId="0" fontId="76" fillId="25" borderId="92" xfId="0" applyFont="1" applyFill="1" applyBorder="1" applyAlignment="1">
      <alignment horizontal="left" vertical="top" wrapText="1"/>
    </xf>
    <xf numFmtId="0" fontId="76" fillId="25" borderId="0" xfId="0" applyFont="1" applyFill="1" applyAlignment="1">
      <alignment horizontal="left" vertical="top" wrapText="1"/>
    </xf>
    <xf numFmtId="0" fontId="76" fillId="25" borderId="25" xfId="0" applyFont="1" applyFill="1" applyBorder="1" applyAlignment="1">
      <alignment horizontal="left" vertical="top" wrapText="1"/>
    </xf>
    <xf numFmtId="0" fontId="76" fillId="25" borderId="84" xfId="0" applyFont="1" applyFill="1" applyBorder="1" applyAlignment="1">
      <alignment horizontal="left" vertical="top" wrapText="1"/>
    </xf>
    <xf numFmtId="0" fontId="76" fillId="25" borderId="34" xfId="0" applyFont="1" applyFill="1" applyBorder="1" applyAlignment="1">
      <alignment horizontal="left" vertical="top" wrapText="1"/>
    </xf>
    <xf numFmtId="0" fontId="76" fillId="25" borderId="114" xfId="0" applyFont="1" applyFill="1" applyBorder="1" applyAlignment="1">
      <alignment horizontal="left" vertical="top" wrapText="1"/>
    </xf>
    <xf numFmtId="0" fontId="60" fillId="0" borderId="117" xfId="0" applyFont="1" applyBorder="1" applyAlignment="1">
      <alignment horizontal="center" vertical="center"/>
    </xf>
    <xf numFmtId="0" fontId="60" fillId="0" borderId="118" xfId="0" applyFont="1" applyBorder="1" applyAlignment="1">
      <alignment horizontal="center" vertical="center"/>
    </xf>
    <xf numFmtId="0" fontId="60" fillId="0" borderId="119" xfId="0" applyFont="1" applyBorder="1" applyAlignment="1">
      <alignment horizontal="center" vertical="center"/>
    </xf>
    <xf numFmtId="0" fontId="60" fillId="0" borderId="0" xfId="0" applyFont="1" applyAlignment="1">
      <alignment horizontal="center" shrinkToFit="1"/>
    </xf>
    <xf numFmtId="0" fontId="60" fillId="0" borderId="53" xfId="0" applyFont="1" applyBorder="1" applyAlignment="1">
      <alignment horizontal="left" shrinkToFit="1"/>
    </xf>
    <xf numFmtId="0" fontId="60" fillId="0" borderId="0" xfId="0" applyFont="1" applyAlignment="1">
      <alignment horizontal="left" shrinkToFit="1"/>
    </xf>
    <xf numFmtId="0" fontId="54" fillId="0" borderId="0" xfId="0" applyFont="1" applyAlignment="1">
      <alignment horizontal="center" vertical="center"/>
    </xf>
    <xf numFmtId="0" fontId="51" fillId="0" borderId="0" xfId="0" applyFont="1" applyAlignment="1">
      <alignment horizontal="center" vertical="center"/>
    </xf>
    <xf numFmtId="0" fontId="60" fillId="0" borderId="0" xfId="0" applyFont="1" applyAlignment="1">
      <alignment horizontal="right" vertical="center" shrinkToFit="1"/>
    </xf>
    <xf numFmtId="0" fontId="60" fillId="0" borderId="30" xfId="0" applyFont="1" applyBorder="1" applyAlignment="1">
      <alignment horizontal="center" vertical="center"/>
    </xf>
    <xf numFmtId="0" fontId="60" fillId="0" borderId="23" xfId="0" applyFont="1" applyBorder="1" applyAlignment="1">
      <alignment horizontal="center" vertical="center"/>
    </xf>
    <xf numFmtId="0" fontId="60" fillId="0" borderId="43" xfId="0" applyFont="1" applyBorder="1" applyAlignment="1">
      <alignment horizontal="center" vertical="center"/>
    </xf>
    <xf numFmtId="0" fontId="62" fillId="0" borderId="31" xfId="0" applyFont="1" applyBorder="1" applyAlignment="1">
      <alignment horizontal="center" vertical="center" wrapText="1"/>
    </xf>
    <xf numFmtId="0" fontId="62" fillId="0" borderId="24" xfId="0" applyFont="1" applyBorder="1" applyAlignment="1">
      <alignment horizontal="center" vertical="center" wrapText="1"/>
    </xf>
    <xf numFmtId="0" fontId="62" fillId="0" borderId="29" xfId="0" applyFont="1" applyBorder="1" applyAlignment="1">
      <alignment horizontal="center" vertical="center" wrapText="1"/>
    </xf>
    <xf numFmtId="0" fontId="60" fillId="0" borderId="31" xfId="0" applyFont="1" applyBorder="1" applyAlignment="1">
      <alignment horizontal="center" vertical="center" shrinkToFit="1"/>
    </xf>
    <xf numFmtId="0" fontId="60" fillId="0" borderId="24" xfId="0" applyFont="1" applyBorder="1" applyAlignment="1">
      <alignment horizontal="center" vertical="center" shrinkToFit="1"/>
    </xf>
    <xf numFmtId="0" fontId="60" fillId="0" borderId="29" xfId="0" applyFont="1" applyBorder="1" applyAlignment="1">
      <alignment horizontal="center" vertical="center" shrinkToFit="1"/>
    </xf>
    <xf numFmtId="0" fontId="60" fillId="0" borderId="31" xfId="0" applyFont="1" applyBorder="1" applyAlignment="1">
      <alignment horizontal="center" vertical="center"/>
    </xf>
    <xf numFmtId="0" fontId="60" fillId="0" borderId="24" xfId="0" applyFont="1" applyBorder="1" applyAlignment="1">
      <alignment horizontal="center" vertical="center"/>
    </xf>
    <xf numFmtId="0" fontId="60" fillId="0" borderId="29" xfId="0" applyFont="1" applyBorder="1" applyAlignment="1">
      <alignment horizontal="center" vertical="center"/>
    </xf>
    <xf numFmtId="0" fontId="60" fillId="0" borderId="31" xfId="0" applyFont="1" applyBorder="1" applyAlignment="1">
      <alignment horizontal="center" vertical="center" textRotation="255"/>
    </xf>
    <xf numFmtId="0" fontId="60" fillId="0" borderId="24" xfId="0" applyFont="1" applyBorder="1" applyAlignment="1">
      <alignment horizontal="center" vertical="center" textRotation="255"/>
    </xf>
    <xf numFmtId="0" fontId="60" fillId="0" borderId="29" xfId="0" applyFont="1" applyBorder="1" applyAlignment="1">
      <alignment horizontal="center" vertical="center" textRotation="255"/>
    </xf>
    <xf numFmtId="0" fontId="60" fillId="0" borderId="120" xfId="0" applyFont="1" applyBorder="1" applyAlignment="1">
      <alignment horizontal="center" vertical="center" textRotation="255"/>
    </xf>
    <xf numFmtId="0" fontId="60" fillId="0" borderId="121" xfId="0" applyFont="1" applyBorder="1" applyAlignment="1">
      <alignment horizontal="center" vertical="center" textRotation="255"/>
    </xf>
    <xf numFmtId="0" fontId="60" fillId="0" borderId="122" xfId="0" applyFont="1" applyBorder="1" applyAlignment="1">
      <alignment horizontal="center" vertical="center" textRotation="255"/>
    </xf>
    <xf numFmtId="0" fontId="60" fillId="0" borderId="15" xfId="0" applyFont="1" applyBorder="1" applyAlignment="1">
      <alignment horizontal="center" vertical="center"/>
    </xf>
    <xf numFmtId="0" fontId="60" fillId="0" borderId="16" xfId="0" applyFont="1" applyBorder="1" applyAlignment="1">
      <alignment horizontal="center" vertical="center"/>
    </xf>
    <xf numFmtId="0" fontId="62" fillId="0" borderId="32" xfId="0" applyFont="1" applyBorder="1" applyAlignment="1">
      <alignment horizontal="center" vertical="center" wrapText="1"/>
    </xf>
    <xf numFmtId="0" fontId="62" fillId="0" borderId="14" xfId="0" applyFont="1" applyBorder="1" applyAlignment="1">
      <alignment horizontal="center" vertical="center" wrapText="1"/>
    </xf>
    <xf numFmtId="0" fontId="60" fillId="0" borderId="32" xfId="0" applyFont="1" applyBorder="1" applyAlignment="1">
      <alignment horizontal="center" vertical="center" shrinkToFit="1"/>
    </xf>
    <xf numFmtId="0" fontId="60" fillId="0" borderId="14" xfId="0" applyFont="1" applyBorder="1" applyAlignment="1">
      <alignment horizontal="center" vertical="center" shrinkToFit="1"/>
    </xf>
    <xf numFmtId="0" fontId="60" fillId="0" borderId="32" xfId="0" applyFont="1" applyBorder="1" applyAlignment="1">
      <alignment horizontal="center" vertical="center"/>
    </xf>
    <xf numFmtId="0" fontId="60" fillId="0" borderId="14" xfId="0" applyFont="1" applyBorder="1" applyAlignment="1">
      <alignment horizontal="center" vertical="center"/>
    </xf>
    <xf numFmtId="0" fontId="60" fillId="0" borderId="32" xfId="0" applyFont="1" applyBorder="1" applyAlignment="1">
      <alignment horizontal="center" vertical="center" textRotation="255"/>
    </xf>
    <xf numFmtId="0" fontId="60" fillId="0" borderId="14" xfId="0" applyFont="1" applyBorder="1" applyAlignment="1">
      <alignment horizontal="center" vertical="center" textRotation="255"/>
    </xf>
    <xf numFmtId="0" fontId="60" fillId="0" borderId="123" xfId="0" applyFont="1" applyBorder="1" applyAlignment="1">
      <alignment horizontal="center" vertical="center" textRotation="255"/>
    </xf>
    <xf numFmtId="0" fontId="60" fillId="0" borderId="124" xfId="0" applyFont="1" applyBorder="1" applyAlignment="1">
      <alignment horizontal="center" vertical="center" textRotation="255"/>
    </xf>
    <xf numFmtId="0" fontId="60" fillId="0" borderId="115" xfId="0" applyFont="1" applyBorder="1" applyAlignment="1">
      <alignment horizontal="center" vertical="center"/>
    </xf>
    <xf numFmtId="0" fontId="60" fillId="0" borderId="34" xfId="0" applyFont="1" applyBorder="1" applyAlignment="1">
      <alignment horizontal="center" vertical="center"/>
    </xf>
    <xf numFmtId="0" fontId="60" fillId="0" borderId="106" xfId="0" applyFont="1" applyBorder="1" applyAlignment="1">
      <alignment horizontal="center" vertical="center"/>
    </xf>
    <xf numFmtId="0" fontId="9" fillId="0" borderId="0" xfId="0" applyFont="1" applyAlignment="1">
      <alignment horizontal="center" shrinkToFit="1"/>
    </xf>
    <xf numFmtId="56" fontId="9" fillId="0" borderId="12" xfId="0" applyNumberFormat="1" applyFont="1" applyBorder="1" applyAlignment="1">
      <alignment horizontal="center" vertical="center" shrinkToFit="1"/>
    </xf>
    <xf numFmtId="0" fontId="9" fillId="0" borderId="12" xfId="0" applyFont="1" applyBorder="1" applyAlignment="1">
      <alignment horizontal="center" vertical="center" shrinkToFit="1"/>
    </xf>
    <xf numFmtId="0" fontId="20" fillId="0" borderId="0" xfId="0" applyFont="1" applyAlignment="1">
      <alignment horizontal="center" vertical="center"/>
    </xf>
    <xf numFmtId="0" fontId="47" fillId="0" borderId="61" xfId="0" applyFont="1" applyBorder="1" applyAlignment="1">
      <alignment horizontal="center" vertical="center"/>
    </xf>
    <xf numFmtId="0" fontId="47" fillId="0" borderId="98" xfId="0" applyFont="1" applyBorder="1" applyAlignment="1">
      <alignment horizontal="center" vertical="center"/>
    </xf>
    <xf numFmtId="0" fontId="15" fillId="0" borderId="0" xfId="0" applyFont="1" applyAlignment="1">
      <alignment horizontal="center"/>
    </xf>
    <xf numFmtId="0" fontId="6" fillId="0" borderId="0" xfId="0" applyFont="1" applyAlignment="1">
      <alignment horizontal="center"/>
    </xf>
    <xf numFmtId="0" fontId="18" fillId="0" borderId="93" xfId="0" applyFont="1" applyBorder="1" applyAlignment="1">
      <alignment horizontal="center" vertical="center"/>
    </xf>
    <xf numFmtId="14" fontId="9" fillId="0" borderId="0" xfId="0" applyNumberFormat="1" applyFont="1" applyAlignment="1">
      <alignment horizontal="center" vertical="center" shrinkToFit="1"/>
    </xf>
    <xf numFmtId="0" fontId="9" fillId="0" borderId="0" xfId="0" applyFont="1" applyAlignment="1">
      <alignment horizontal="center" vertical="center" shrinkToFit="1"/>
    </xf>
  </cellXfs>
  <cellStyles count="48">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46" builtinId="6"/>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1"/>
    <cellStyle name="標準 3" xfId="42"/>
    <cellStyle name="標準 4" xfId="43"/>
    <cellStyle name="標準 5" xfId="47"/>
    <cellStyle name="未定義" xfId="44"/>
    <cellStyle name="良い 2" xfId="4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xmlns=""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xmlns=""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xmlns=""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xmlns=""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a16="http://schemas.microsoft.com/office/drawing/2014/main" xmlns=""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xmlns=""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39</xdr:row>
      <xdr:rowOff>0</xdr:rowOff>
    </xdr:from>
    <xdr:to>
      <xdr:col>6</xdr:col>
      <xdr:colOff>145701</xdr:colOff>
      <xdr:row>39</xdr:row>
      <xdr:rowOff>171450</xdr:rowOff>
    </xdr:to>
    <xdr:sp macro="" textlink="">
      <xdr:nvSpPr>
        <xdr:cNvPr id="24" name="テキスト 204">
          <a:extLst>
            <a:ext uri="{FF2B5EF4-FFF2-40B4-BE49-F238E27FC236}">
              <a16:creationId xmlns:a16="http://schemas.microsoft.com/office/drawing/2014/main" xmlns="" id="{00000000-0008-0000-0700-000018000000}"/>
            </a:ext>
          </a:extLst>
        </xdr:cNvPr>
        <xdr:cNvSpPr txBox="1">
          <a:spLocks noChangeArrowheads="1"/>
        </xdr:cNvSpPr>
      </xdr:nvSpPr>
      <xdr:spPr bwMode="auto">
        <a:xfrm>
          <a:off x="3543300" y="6610350"/>
          <a:ext cx="1524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B</a:t>
          </a:r>
        </a:p>
      </xdr:txBody>
    </xdr:sp>
    <xdr:clientData/>
  </xdr:twoCellAnchor>
  <xdr:twoCellAnchor>
    <xdr:from>
      <xdr:col>4</xdr:col>
      <xdr:colOff>0</xdr:colOff>
      <xdr:row>14</xdr:row>
      <xdr:rowOff>0</xdr:rowOff>
    </xdr:from>
    <xdr:to>
      <xdr:col>4</xdr:col>
      <xdr:colOff>145701</xdr:colOff>
      <xdr:row>14</xdr:row>
      <xdr:rowOff>172509</xdr:rowOff>
    </xdr:to>
    <xdr:sp macro="" textlink="">
      <xdr:nvSpPr>
        <xdr:cNvPr id="9" name="テキスト 204">
          <a:extLst>
            <a:ext uri="{FF2B5EF4-FFF2-40B4-BE49-F238E27FC236}">
              <a16:creationId xmlns:a16="http://schemas.microsoft.com/office/drawing/2014/main" xmlns="" id="{00000000-0008-0000-0700-000009000000}"/>
            </a:ext>
          </a:extLst>
        </xdr:cNvPr>
        <xdr:cNvSpPr txBox="1">
          <a:spLocks noChangeArrowheads="1"/>
        </xdr:cNvSpPr>
      </xdr:nvSpPr>
      <xdr:spPr bwMode="auto">
        <a:xfrm>
          <a:off x="2342029" y="4370294"/>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editAs="oneCell">
    <xdr:from>
      <xdr:col>32</xdr:col>
      <xdr:colOff>89647</xdr:colOff>
      <xdr:row>7</xdr:row>
      <xdr:rowOff>112059</xdr:rowOff>
    </xdr:from>
    <xdr:to>
      <xdr:col>32</xdr:col>
      <xdr:colOff>485921</xdr:colOff>
      <xdr:row>19</xdr:row>
      <xdr:rowOff>63831</xdr:rowOff>
    </xdr:to>
    <xdr:pic>
      <xdr:nvPicPr>
        <xdr:cNvPr id="6" name="図 5">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1"/>
        <a:stretch>
          <a:fillRect/>
        </a:stretch>
      </xdr:blipFill>
      <xdr:spPr>
        <a:xfrm>
          <a:off x="20249029" y="1792941"/>
          <a:ext cx="396274" cy="2103302"/>
        </a:xfrm>
        <a:prstGeom prst="rect">
          <a:avLst/>
        </a:prstGeom>
      </xdr:spPr>
    </xdr:pic>
    <xdr:clientData/>
  </xdr:twoCellAnchor>
  <xdr:twoCellAnchor>
    <xdr:from>
      <xdr:col>4</xdr:col>
      <xdr:colOff>0</xdr:colOff>
      <xdr:row>17</xdr:row>
      <xdr:rowOff>0</xdr:rowOff>
    </xdr:from>
    <xdr:to>
      <xdr:col>4</xdr:col>
      <xdr:colOff>145701</xdr:colOff>
      <xdr:row>17</xdr:row>
      <xdr:rowOff>172509</xdr:rowOff>
    </xdr:to>
    <xdr:sp macro="" textlink="">
      <xdr:nvSpPr>
        <xdr:cNvPr id="27" name="テキスト 204">
          <a:extLst>
            <a:ext uri="{FF2B5EF4-FFF2-40B4-BE49-F238E27FC236}">
              <a16:creationId xmlns:a16="http://schemas.microsoft.com/office/drawing/2014/main" xmlns="" id="{00000000-0008-0000-0700-00001B000000}"/>
            </a:ext>
          </a:extLst>
        </xdr:cNvPr>
        <xdr:cNvSpPr txBox="1">
          <a:spLocks noChangeArrowheads="1"/>
        </xdr:cNvSpPr>
      </xdr:nvSpPr>
      <xdr:spPr bwMode="auto">
        <a:xfrm>
          <a:off x="2342029" y="311523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5</xdr:col>
      <xdr:colOff>0</xdr:colOff>
      <xdr:row>19</xdr:row>
      <xdr:rowOff>0</xdr:rowOff>
    </xdr:from>
    <xdr:to>
      <xdr:col>5</xdr:col>
      <xdr:colOff>145701</xdr:colOff>
      <xdr:row>19</xdr:row>
      <xdr:rowOff>172509</xdr:rowOff>
    </xdr:to>
    <xdr:sp macro="" textlink="">
      <xdr:nvSpPr>
        <xdr:cNvPr id="12" name="テキスト 204">
          <a:extLst>
            <a:ext uri="{FF2B5EF4-FFF2-40B4-BE49-F238E27FC236}">
              <a16:creationId xmlns:a16="http://schemas.microsoft.com/office/drawing/2014/main" xmlns="" id="{00000000-0008-0000-0700-00000C000000}"/>
            </a:ext>
          </a:extLst>
        </xdr:cNvPr>
        <xdr:cNvSpPr txBox="1">
          <a:spLocks noChangeArrowheads="1"/>
        </xdr:cNvSpPr>
      </xdr:nvSpPr>
      <xdr:spPr bwMode="auto">
        <a:xfrm>
          <a:off x="2947147" y="4191000"/>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6</xdr:col>
      <xdr:colOff>0</xdr:colOff>
      <xdr:row>13</xdr:row>
      <xdr:rowOff>0</xdr:rowOff>
    </xdr:from>
    <xdr:to>
      <xdr:col>6</xdr:col>
      <xdr:colOff>145701</xdr:colOff>
      <xdr:row>13</xdr:row>
      <xdr:rowOff>172509</xdr:rowOff>
    </xdr:to>
    <xdr:sp macro="" textlink="">
      <xdr:nvSpPr>
        <xdr:cNvPr id="13" name="テキスト 204">
          <a:extLst>
            <a:ext uri="{FF2B5EF4-FFF2-40B4-BE49-F238E27FC236}">
              <a16:creationId xmlns:a16="http://schemas.microsoft.com/office/drawing/2014/main" xmlns="" id="{00000000-0008-0000-0700-00000D000000}"/>
            </a:ext>
          </a:extLst>
        </xdr:cNvPr>
        <xdr:cNvSpPr txBox="1">
          <a:spLocks noChangeArrowheads="1"/>
        </xdr:cNvSpPr>
      </xdr:nvSpPr>
      <xdr:spPr bwMode="auto">
        <a:xfrm>
          <a:off x="3552265" y="2398059"/>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oneCellAnchor>
    <xdr:from>
      <xdr:col>13</xdr:col>
      <xdr:colOff>125433</xdr:colOff>
      <xdr:row>7</xdr:row>
      <xdr:rowOff>134472</xdr:rowOff>
    </xdr:from>
    <xdr:ext cx="385555" cy="1737655"/>
    <xdr:sp macro="" textlink="">
      <xdr:nvSpPr>
        <xdr:cNvPr id="5" name="テキスト ボックス 4">
          <a:extLst>
            <a:ext uri="{FF2B5EF4-FFF2-40B4-BE49-F238E27FC236}">
              <a16:creationId xmlns:a16="http://schemas.microsoft.com/office/drawing/2014/main" xmlns="" id="{00000000-0008-0000-0700-000005000000}"/>
            </a:ext>
          </a:extLst>
        </xdr:cNvPr>
        <xdr:cNvSpPr txBox="1"/>
      </xdr:nvSpPr>
      <xdr:spPr>
        <a:xfrm>
          <a:off x="7140315" y="1815354"/>
          <a:ext cx="385555" cy="173765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a:t>風が無く全艇リタイヤ</a:t>
          </a:r>
        </a:p>
      </xdr:txBody>
    </xdr:sp>
    <xdr:clientData/>
  </xdr:oneCellAnchor>
  <xdr:twoCellAnchor>
    <xdr:from>
      <xdr:col>7</xdr:col>
      <xdr:colOff>0</xdr:colOff>
      <xdr:row>8</xdr:row>
      <xdr:rowOff>0</xdr:rowOff>
    </xdr:from>
    <xdr:to>
      <xdr:col>7</xdr:col>
      <xdr:colOff>145701</xdr:colOff>
      <xdr:row>8</xdr:row>
      <xdr:rowOff>172509</xdr:rowOff>
    </xdr:to>
    <xdr:sp macro="" textlink="">
      <xdr:nvSpPr>
        <xdr:cNvPr id="15" name="テキスト 204">
          <a:extLst>
            <a:ext uri="{FF2B5EF4-FFF2-40B4-BE49-F238E27FC236}">
              <a16:creationId xmlns:a16="http://schemas.microsoft.com/office/drawing/2014/main" xmlns="" id="{00000000-0008-0000-0700-00000F000000}"/>
            </a:ext>
          </a:extLst>
        </xdr:cNvPr>
        <xdr:cNvSpPr txBox="1">
          <a:spLocks noChangeArrowheads="1"/>
        </xdr:cNvSpPr>
      </xdr:nvSpPr>
      <xdr:spPr bwMode="auto">
        <a:xfrm>
          <a:off x="4157382" y="2039471"/>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8</xdr:col>
      <xdr:colOff>0</xdr:colOff>
      <xdr:row>23</xdr:row>
      <xdr:rowOff>0</xdr:rowOff>
    </xdr:from>
    <xdr:to>
      <xdr:col>8</xdr:col>
      <xdr:colOff>145701</xdr:colOff>
      <xdr:row>23</xdr:row>
      <xdr:rowOff>172509</xdr:rowOff>
    </xdr:to>
    <xdr:sp macro="" textlink="">
      <xdr:nvSpPr>
        <xdr:cNvPr id="17" name="テキスト 204">
          <a:extLst>
            <a:ext uri="{FF2B5EF4-FFF2-40B4-BE49-F238E27FC236}">
              <a16:creationId xmlns:a16="http://schemas.microsoft.com/office/drawing/2014/main" xmlns="" id="{00000000-0008-0000-0700-000011000000}"/>
            </a:ext>
          </a:extLst>
        </xdr:cNvPr>
        <xdr:cNvSpPr txBox="1">
          <a:spLocks noChangeArrowheads="1"/>
        </xdr:cNvSpPr>
      </xdr:nvSpPr>
      <xdr:spPr bwMode="auto">
        <a:xfrm>
          <a:off x="4762500" y="3832412"/>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twoCellAnchor>
    <xdr:from>
      <xdr:col>9</xdr:col>
      <xdr:colOff>0</xdr:colOff>
      <xdr:row>27</xdr:row>
      <xdr:rowOff>0</xdr:rowOff>
    </xdr:from>
    <xdr:to>
      <xdr:col>9</xdr:col>
      <xdr:colOff>145701</xdr:colOff>
      <xdr:row>27</xdr:row>
      <xdr:rowOff>172509</xdr:rowOff>
    </xdr:to>
    <xdr:sp macro="" textlink="">
      <xdr:nvSpPr>
        <xdr:cNvPr id="18" name="テキスト 204">
          <a:extLst>
            <a:ext uri="{FF2B5EF4-FFF2-40B4-BE49-F238E27FC236}">
              <a16:creationId xmlns:a16="http://schemas.microsoft.com/office/drawing/2014/main" xmlns="" id="{0BEA0B07-A769-482C-8C15-3C74EB8D32B4}"/>
            </a:ext>
          </a:extLst>
        </xdr:cNvPr>
        <xdr:cNvSpPr txBox="1">
          <a:spLocks noChangeArrowheads="1"/>
        </xdr:cNvSpPr>
      </xdr:nvSpPr>
      <xdr:spPr bwMode="auto">
        <a:xfrm>
          <a:off x="5367618" y="5266765"/>
          <a:ext cx="145701"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xmlns=""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xmlns=""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xmlns=""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xmlns=""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xmlns=""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xmlns=""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xmlns=""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xmlns=""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xmlns=""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xmlns=""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xmlns=""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xmlns=""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xmlns=""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xmlns=""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xmlns=""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xmlns=""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xmlns=""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xmlns=""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xmlns=""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xmlns=""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xmlns=""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xmlns=""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xmlns=""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xmlns=""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xmlns=""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xmlns=""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xmlns=""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xmlns=""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xmlns=""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xmlns=""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xmlns=""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xmlns=""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K24" sqref="K24"/>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875" style="230" customWidth="1"/>
    <col min="13" max="13" width="9.5" style="230" customWidth="1"/>
    <col min="14" max="14" width="7.875" style="230" customWidth="1"/>
    <col min="15" max="15" width="8" style="230" customWidth="1"/>
    <col min="16" max="16" width="12" style="230" bestFit="1" customWidth="1"/>
    <col min="17" max="17" width="11.625" style="230" customWidth="1"/>
    <col min="18" max="18" width="1.125" style="230" customWidth="1"/>
    <col min="19" max="19" width="4.875" style="230" customWidth="1"/>
    <col min="20" max="22" width="7.625" style="230" customWidth="1"/>
    <col min="23" max="23" width="8.25" style="230" customWidth="1"/>
    <col min="24" max="25" width="7.625" style="230" customWidth="1"/>
    <col min="26" max="26" width="4.5" style="230" customWidth="1"/>
    <col min="27" max="29" width="8" style="230" customWidth="1"/>
    <col min="30" max="16384" width="9" style="230"/>
  </cols>
  <sheetData>
    <row r="1" spans="1:29" ht="9.75" customHeight="1" thickBot="1">
      <c r="A1" s="148"/>
      <c r="B1" s="148"/>
      <c r="C1" s="148"/>
      <c r="D1" s="148"/>
      <c r="E1" s="148"/>
      <c r="F1" s="148"/>
      <c r="G1" s="148"/>
      <c r="H1" s="148"/>
      <c r="I1" s="148"/>
      <c r="J1" s="148"/>
      <c r="K1" s="148"/>
      <c r="L1" s="148"/>
      <c r="M1" s="148"/>
      <c r="N1" s="148"/>
      <c r="O1" s="148"/>
      <c r="P1" s="148"/>
      <c r="Q1" s="148"/>
      <c r="R1" s="148"/>
      <c r="S1" s="148"/>
    </row>
    <row r="2" spans="1:29" ht="21">
      <c r="A2" s="148"/>
      <c r="B2" s="139"/>
      <c r="C2" s="140"/>
      <c r="D2" s="437" t="str">
        <f>参照ﾃﾞｰﾀ!P4</f>
        <v>2019年</v>
      </c>
      <c r="E2" s="437"/>
      <c r="F2" s="437"/>
      <c r="G2" s="141" t="s">
        <v>194</v>
      </c>
      <c r="H2" s="142"/>
      <c r="I2" s="143"/>
      <c r="J2" s="139"/>
      <c r="K2" s="144"/>
      <c r="L2" s="139"/>
      <c r="M2" s="145" t="s">
        <v>52</v>
      </c>
      <c r="N2" s="146" t="s">
        <v>352</v>
      </c>
      <c r="O2" s="147" t="s">
        <v>54</v>
      </c>
      <c r="P2" s="280">
        <v>43667</v>
      </c>
      <c r="Q2" s="281">
        <v>0.39583333333333331</v>
      </c>
      <c r="R2" s="404"/>
      <c r="S2" s="139"/>
      <c r="T2" s="232" t="s">
        <v>2</v>
      </c>
      <c r="U2" s="231"/>
      <c r="V2" s="231"/>
      <c r="W2" s="231"/>
      <c r="X2" s="231"/>
      <c r="Y2" s="231"/>
      <c r="Z2" s="231"/>
    </row>
    <row r="3" spans="1:29" ht="21.75" customHeight="1" thickBot="1">
      <c r="A3" s="148"/>
      <c r="B3" s="139"/>
      <c r="C3" s="148"/>
      <c r="D3" s="149" t="s">
        <v>245</v>
      </c>
      <c r="E3" s="438" t="s">
        <v>64</v>
      </c>
      <c r="F3" s="438"/>
      <c r="G3" s="438"/>
      <c r="H3" s="438"/>
      <c r="I3" s="438"/>
      <c r="J3" s="439" t="s">
        <v>86</v>
      </c>
      <c r="K3" s="439"/>
      <c r="L3" s="139"/>
      <c r="M3" s="150" t="s">
        <v>75</v>
      </c>
      <c r="N3" s="151">
        <v>7.1</v>
      </c>
      <c r="O3" s="152" t="s">
        <v>0</v>
      </c>
      <c r="P3" s="153">
        <v>12</v>
      </c>
      <c r="Q3" s="154" t="s">
        <v>1</v>
      </c>
      <c r="R3" s="405"/>
      <c r="S3" s="139"/>
      <c r="T3" s="231" t="s">
        <v>234</v>
      </c>
      <c r="U3" s="231"/>
      <c r="V3" s="231"/>
      <c r="W3" s="232" t="s">
        <v>2</v>
      </c>
      <c r="X3" s="231"/>
      <c r="Y3" s="231"/>
      <c r="Z3" s="231"/>
      <c r="AA3" s="233" t="s">
        <v>76</v>
      </c>
    </row>
    <row r="4" spans="1:29" ht="7.5" customHeight="1" thickBot="1">
      <c r="A4" s="148"/>
      <c r="B4" s="139"/>
      <c r="C4" s="139"/>
      <c r="D4" s="139"/>
      <c r="E4" s="139"/>
      <c r="F4" s="139"/>
      <c r="G4" s="139"/>
      <c r="H4" s="139"/>
      <c r="I4" s="139"/>
      <c r="J4" s="139"/>
      <c r="K4" s="139"/>
      <c r="L4" s="139"/>
      <c r="M4" s="139"/>
      <c r="N4" s="139"/>
      <c r="O4" s="139"/>
      <c r="P4" s="139"/>
      <c r="Q4" s="139"/>
      <c r="R4" s="139"/>
      <c r="S4" s="139"/>
      <c r="T4" s="231"/>
      <c r="U4" s="231"/>
      <c r="V4" s="231"/>
      <c r="W4" s="234"/>
      <c r="X4" s="231"/>
      <c r="Y4" s="231"/>
      <c r="Z4" s="231"/>
    </row>
    <row r="5" spans="1:29"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406"/>
      <c r="S5" s="228"/>
      <c r="T5" s="237" t="s">
        <v>10</v>
      </c>
      <c r="U5" s="235" t="s">
        <v>10</v>
      </c>
      <c r="V5" s="238" t="s">
        <v>10</v>
      </c>
      <c r="W5" s="237" t="s">
        <v>10</v>
      </c>
      <c r="X5" s="235" t="s">
        <v>10</v>
      </c>
      <c r="Y5" s="238" t="s">
        <v>10</v>
      </c>
      <c r="Z5" s="236"/>
      <c r="AA5" s="237" t="s">
        <v>13</v>
      </c>
      <c r="AB5" s="235" t="s">
        <v>13</v>
      </c>
      <c r="AC5" s="238" t="s">
        <v>13</v>
      </c>
    </row>
    <row r="6" spans="1:29" ht="14.25">
      <c r="A6" s="148"/>
      <c r="B6" s="158"/>
      <c r="C6" s="159" t="s">
        <v>14</v>
      </c>
      <c r="D6" s="160"/>
      <c r="E6" s="161" t="s">
        <v>15</v>
      </c>
      <c r="F6" s="161"/>
      <c r="G6" s="159" t="s">
        <v>16</v>
      </c>
      <c r="H6" s="161" t="s">
        <v>17</v>
      </c>
      <c r="I6" s="159" t="s">
        <v>336</v>
      </c>
      <c r="J6" s="161" t="s">
        <v>18</v>
      </c>
      <c r="K6" s="161" t="s">
        <v>17</v>
      </c>
      <c r="L6" s="159" t="s">
        <v>16</v>
      </c>
      <c r="M6" s="161" t="s">
        <v>46</v>
      </c>
      <c r="N6" s="161" t="s">
        <v>19</v>
      </c>
      <c r="O6" s="162" t="str">
        <f>"MAX=30"</f>
        <v>MAX=30</v>
      </c>
      <c r="P6" s="163"/>
      <c r="Q6" s="164"/>
      <c r="R6" s="407"/>
      <c r="S6" s="229"/>
      <c r="T6" s="241" t="s">
        <v>20</v>
      </c>
      <c r="U6" s="239" t="s">
        <v>22</v>
      </c>
      <c r="V6" s="242" t="s">
        <v>21</v>
      </c>
      <c r="W6" s="241" t="s">
        <v>20</v>
      </c>
      <c r="X6" s="239" t="s">
        <v>22</v>
      </c>
      <c r="Y6" s="242" t="s">
        <v>21</v>
      </c>
      <c r="Z6" s="240"/>
      <c r="AA6" s="241" t="s">
        <v>78</v>
      </c>
      <c r="AB6" s="239" t="s">
        <v>79</v>
      </c>
      <c r="AC6" s="242" t="s">
        <v>80</v>
      </c>
    </row>
    <row r="7" spans="1:29" ht="14.25">
      <c r="A7" s="148"/>
      <c r="B7" s="165">
        <v>1</v>
      </c>
      <c r="C7" s="166">
        <v>312</v>
      </c>
      <c r="D7" s="167" t="str">
        <f t="shared" ref="D7:D18" si="0">IF(ISBLANK(C7),"",VLOOKUP(C7,各艇データ,2,FALSE))</f>
        <v>はやとり</v>
      </c>
      <c r="E7" s="265">
        <f t="shared" ref="E7:E18" si="1">IF($I$6="Ⅰ",T7,IF($I$6="Ⅱ",U7,IF($I$6="Ⅲ",V7,"")))</f>
        <v>8.11</v>
      </c>
      <c r="F7" s="168">
        <v>1</v>
      </c>
      <c r="G7" s="169">
        <v>0.5108449074074074</v>
      </c>
      <c r="H7" s="166">
        <f t="shared" ref="H7:H18" si="2">IFERROR(IF(G7-$Q$2&lt;=0,"",(G7-$Q$2)*86400),"")</f>
        <v>9937.0000000000018</v>
      </c>
      <c r="I7" s="170">
        <f t="shared" ref="I7:I18" si="3">IF($I$6="Ⅰ",W7,IF($I$6="Ⅱ",X7,IF($I$6="Ⅲ",Y7,"")))</f>
        <v>972.4</v>
      </c>
      <c r="J7" s="168"/>
      <c r="K7" s="171">
        <f t="shared" ref="K7:K18" si="4">IFERROR(H7*(1+0.01*J7)-I7*$N$3,"")</f>
        <v>3032.9600000000028</v>
      </c>
      <c r="L7" s="169">
        <f t="shared" ref="L7:L18" si="5">IFERROR((K7-$K$7)/86400,"")</f>
        <v>0</v>
      </c>
      <c r="M7" s="172">
        <f t="shared" ref="M7:M18" si="6">IFERROR((K7-$K$7)/$N$3,"")</f>
        <v>0</v>
      </c>
      <c r="N7" s="173">
        <f t="shared" ref="N7:N18" si="7">IFERROR($N$3/(H7/3600),"")</f>
        <v>2.5722048908121153</v>
      </c>
      <c r="O7" s="174">
        <f>ROUND(IF($O$6="MAX=20",AA7,IF($O$6="MAX=30",AB7,IF($O$6="MAX=40",AC7,""))),1)</f>
        <v>30</v>
      </c>
      <c r="P7" s="270"/>
      <c r="Q7" s="175"/>
      <c r="R7" s="407"/>
      <c r="S7" s="228"/>
      <c r="T7" s="244">
        <f t="shared" ref="T7:T31" si="8">IF(ISBLANK(C7),"",VLOOKUP(C7,各艇データ,3,FALSE))</f>
        <v>8.11</v>
      </c>
      <c r="U7" s="245">
        <f t="shared" ref="U7:U31" si="9">IF(ISBLANK(C7),"",VLOOKUP(C7,各艇データ,4,FALSE))</f>
        <v>8.09</v>
      </c>
      <c r="V7" s="246">
        <f t="shared" ref="V7:V31" si="10">IF(ISBLANK(C7),"",VLOOKUP(C7,各艇データ,5,FALSE))</f>
        <v>8.07</v>
      </c>
      <c r="W7" s="247">
        <f t="shared" ref="W7:W31" si="11">IF(ISBLANK(C7),"",VLOOKUP(C7,各艇データ,6,FALSE))</f>
        <v>972.4</v>
      </c>
      <c r="X7" s="248">
        <f t="shared" ref="X7:X31" si="12">IF(ISBLANK(C7),"",VLOOKUP(C7,各艇データ,7,FALSE))</f>
        <v>603.70000000000005</v>
      </c>
      <c r="Y7" s="249">
        <f t="shared" ref="Y7:Y31" si="13">IF(ISBLANK(C7),"",VLOOKUP(C7,各艇データ,8,FALSE))</f>
        <v>535.70000000000005</v>
      </c>
      <c r="Z7" s="236"/>
      <c r="AA7" s="250">
        <f>IF(ISBLANK(B7),"",IFERROR(20*($P$3+1-$B7)/$P$3,"20.0"))</f>
        <v>20</v>
      </c>
      <c r="AB7" s="243">
        <f>IF(ISBLANK(B7),"",IFERROR(30*($P$3+1-$B7)/$P$3,"30.0"))</f>
        <v>30</v>
      </c>
      <c r="AC7" s="251">
        <f>IF(ISBLANK(B7),"",IFERROR(30*($P$3-$B7)/($P$3-1)+10,"20.0"))</f>
        <v>40</v>
      </c>
    </row>
    <row r="8" spans="1:29" ht="14.25">
      <c r="A8" s="148"/>
      <c r="B8" s="176">
        <v>2</v>
      </c>
      <c r="C8" s="177">
        <v>1611</v>
      </c>
      <c r="D8" s="178" t="str">
        <f t="shared" si="0"/>
        <v>ﾈﾌﾟﾁｭｰﾝXⅡ</v>
      </c>
      <c r="E8" s="266">
        <f t="shared" si="1"/>
        <v>8.0299999999999994</v>
      </c>
      <c r="F8" s="179">
        <v>3</v>
      </c>
      <c r="G8" s="180">
        <v>0.52090277777777783</v>
      </c>
      <c r="H8" s="177">
        <f t="shared" si="2"/>
        <v>10806.000000000005</v>
      </c>
      <c r="I8" s="181">
        <f t="shared" si="3"/>
        <v>975.7</v>
      </c>
      <c r="J8" s="179"/>
      <c r="K8" s="182">
        <f t="shared" si="4"/>
        <v>3878.5300000000052</v>
      </c>
      <c r="L8" s="180">
        <f t="shared" si="5"/>
        <v>9.7866898148148435E-3</v>
      </c>
      <c r="M8" s="183">
        <f t="shared" si="6"/>
        <v>119.09436619718345</v>
      </c>
      <c r="N8" s="184">
        <f t="shared" si="7"/>
        <v>2.3653525818989438</v>
      </c>
      <c r="O8" s="185">
        <f t="shared" ref="O8:O18" si="14">ROUND(IF($O$6="MAX=20",AA8,IF($O$6="MAX=30",AB8,IF($O$6="MAX=40",AC8,""))),1)</f>
        <v>27.5</v>
      </c>
      <c r="P8" s="186"/>
      <c r="Q8" s="187"/>
      <c r="R8" s="407"/>
      <c r="S8" s="228"/>
      <c r="T8" s="244">
        <f t="shared" si="8"/>
        <v>8.0299999999999994</v>
      </c>
      <c r="U8" s="245">
        <f t="shared" si="9"/>
        <v>8.15</v>
      </c>
      <c r="V8" s="246">
        <f t="shared" si="10"/>
        <v>7.98</v>
      </c>
      <c r="W8" s="247">
        <f t="shared" si="11"/>
        <v>975.7</v>
      </c>
      <c r="X8" s="248">
        <f t="shared" si="12"/>
        <v>602.20000000000005</v>
      </c>
      <c r="Y8" s="249">
        <f t="shared" si="13"/>
        <v>538.1</v>
      </c>
      <c r="Z8" s="236"/>
      <c r="AA8" s="250">
        <f t="shared" ref="AA8:AA31" si="15">IF(ISBLANK(B8),"",IFERROR(20*($P$3+1-$B8)/$P$3,"20.0"))</f>
        <v>18.333333333333332</v>
      </c>
      <c r="AB8" s="243">
        <f t="shared" ref="AB8:AB31" si="16">IF(ISBLANK(B8),"",IFERROR(30*($P$3+1-$B8)/$P$3,"30.0"))</f>
        <v>27.5</v>
      </c>
      <c r="AC8" s="251">
        <f t="shared" ref="AC8:AC31" si="17">IF(ISBLANK(B8),"",IFERROR(30*($P$3-$B8)/($P$3-1)+10,"20.0"))</f>
        <v>37.272727272727273</v>
      </c>
    </row>
    <row r="9" spans="1:29" ht="14.25">
      <c r="A9" s="148"/>
      <c r="B9" s="176">
        <v>3</v>
      </c>
      <c r="C9" s="177">
        <v>150</v>
      </c>
      <c r="D9" s="178" t="str">
        <f t="shared" si="0"/>
        <v>SHARK X</v>
      </c>
      <c r="E9" s="266">
        <f t="shared" si="1"/>
        <v>9.06</v>
      </c>
      <c r="F9" s="179">
        <v>5</v>
      </c>
      <c r="G9" s="180">
        <v>0.52277777777777779</v>
      </c>
      <c r="H9" s="177">
        <f t="shared" si="2"/>
        <v>10968.000000000002</v>
      </c>
      <c r="I9" s="181">
        <f t="shared" si="3"/>
        <v>936.4</v>
      </c>
      <c r="J9" s="179"/>
      <c r="K9" s="182">
        <f t="shared" si="4"/>
        <v>4319.5600000000022</v>
      </c>
      <c r="L9" s="180">
        <f t="shared" si="5"/>
        <v>1.4891203703703698E-2</v>
      </c>
      <c r="M9" s="183">
        <f t="shared" si="6"/>
        <v>181.21126760563374</v>
      </c>
      <c r="N9" s="184">
        <f t="shared" si="7"/>
        <v>2.330415754923413</v>
      </c>
      <c r="O9" s="185">
        <f t="shared" si="14"/>
        <v>25</v>
      </c>
      <c r="P9" s="186"/>
      <c r="Q9" s="187"/>
      <c r="R9" s="407"/>
      <c r="S9" s="228"/>
      <c r="T9" s="244">
        <f t="shared" si="8"/>
        <v>9.06</v>
      </c>
      <c r="U9" s="245">
        <f t="shared" si="9"/>
        <v>8.68</v>
      </c>
      <c r="V9" s="246">
        <f t="shared" si="10"/>
        <v>8.5</v>
      </c>
      <c r="W9" s="247">
        <f t="shared" si="11"/>
        <v>936.4</v>
      </c>
      <c r="X9" s="248">
        <f t="shared" si="12"/>
        <v>588.9</v>
      </c>
      <c r="Y9" s="249">
        <f t="shared" si="13"/>
        <v>524.4</v>
      </c>
      <c r="Z9" s="236"/>
      <c r="AA9" s="250">
        <f t="shared" si="15"/>
        <v>16.666666666666668</v>
      </c>
      <c r="AB9" s="243">
        <f t="shared" si="16"/>
        <v>25</v>
      </c>
      <c r="AC9" s="251">
        <f t="shared" si="17"/>
        <v>34.545454545454547</v>
      </c>
    </row>
    <row r="10" spans="1:29" ht="14.25">
      <c r="A10" s="148"/>
      <c r="B10" s="176">
        <v>4</v>
      </c>
      <c r="C10" s="177">
        <v>5752</v>
      </c>
      <c r="D10" s="178" t="str">
        <f t="shared" si="0"/>
        <v>アルファ</v>
      </c>
      <c r="E10" s="266">
        <f t="shared" si="1"/>
        <v>10.43</v>
      </c>
      <c r="F10" s="179">
        <v>2</v>
      </c>
      <c r="G10" s="180">
        <v>0.51952546296296298</v>
      </c>
      <c r="H10" s="177">
        <f t="shared" si="2"/>
        <v>10687.000000000004</v>
      </c>
      <c r="I10" s="181">
        <f t="shared" si="3"/>
        <v>892.7</v>
      </c>
      <c r="J10" s="179"/>
      <c r="K10" s="182">
        <f t="shared" si="4"/>
        <v>4348.8300000000036</v>
      </c>
      <c r="L10" s="180">
        <f t="shared" si="5"/>
        <v>1.5229976851851861E-2</v>
      </c>
      <c r="M10" s="183">
        <f t="shared" si="6"/>
        <v>185.33380281690154</v>
      </c>
      <c r="N10" s="184">
        <f t="shared" si="7"/>
        <v>2.391690839337512</v>
      </c>
      <c r="O10" s="185">
        <f t="shared" si="14"/>
        <v>22.5</v>
      </c>
      <c r="P10" s="258"/>
      <c r="Q10" s="187"/>
      <c r="R10" s="407"/>
      <c r="S10" s="228"/>
      <c r="T10" s="244">
        <f t="shared" si="8"/>
        <v>10.43</v>
      </c>
      <c r="U10" s="245">
        <f t="shared" si="9"/>
        <v>10.18</v>
      </c>
      <c r="V10" s="246">
        <f t="shared" si="10"/>
        <v>9.92</v>
      </c>
      <c r="W10" s="247">
        <f t="shared" si="11"/>
        <v>892.7</v>
      </c>
      <c r="X10" s="248">
        <f t="shared" si="12"/>
        <v>557</v>
      </c>
      <c r="Y10" s="249">
        <f t="shared" si="13"/>
        <v>492.1</v>
      </c>
      <c r="Z10" s="236"/>
      <c r="AA10" s="250">
        <f t="shared" si="15"/>
        <v>15</v>
      </c>
      <c r="AB10" s="243">
        <f t="shared" si="16"/>
        <v>22.5</v>
      </c>
      <c r="AC10" s="251">
        <f t="shared" si="17"/>
        <v>31.818181818181817</v>
      </c>
    </row>
    <row r="11" spans="1:29" ht="14.25">
      <c r="A11" s="148"/>
      <c r="B11" s="188">
        <v>5</v>
      </c>
      <c r="C11" s="189">
        <v>321</v>
      </c>
      <c r="D11" s="190" t="str">
        <f t="shared" si="0"/>
        <v>かまくら</v>
      </c>
      <c r="E11" s="267">
        <f t="shared" si="1"/>
        <v>10.15</v>
      </c>
      <c r="F11" s="191">
        <v>4</v>
      </c>
      <c r="G11" s="192">
        <v>0.52118055555555554</v>
      </c>
      <c r="H11" s="193">
        <f t="shared" si="2"/>
        <v>10830</v>
      </c>
      <c r="I11" s="194">
        <f t="shared" si="3"/>
        <v>900.8</v>
      </c>
      <c r="J11" s="195"/>
      <c r="K11" s="196">
        <f t="shared" si="4"/>
        <v>4434.3200000000006</v>
      </c>
      <c r="L11" s="197">
        <f t="shared" si="5"/>
        <v>1.6219444444444418E-2</v>
      </c>
      <c r="M11" s="198">
        <f t="shared" si="6"/>
        <v>197.37464788732365</v>
      </c>
      <c r="N11" s="199">
        <f t="shared" si="7"/>
        <v>2.3601108033240998</v>
      </c>
      <c r="O11" s="200">
        <f t="shared" si="14"/>
        <v>20</v>
      </c>
      <c r="P11" s="201"/>
      <c r="Q11" s="202"/>
      <c r="R11" s="407"/>
      <c r="S11" s="228"/>
      <c r="T11" s="244">
        <f t="shared" si="8"/>
        <v>10.15</v>
      </c>
      <c r="U11" s="245">
        <f t="shared" si="9"/>
        <v>9.51</v>
      </c>
      <c r="V11" s="246">
        <f t="shared" si="10"/>
        <v>9.44</v>
      </c>
      <c r="W11" s="247">
        <f t="shared" si="11"/>
        <v>900.8</v>
      </c>
      <c r="X11" s="248">
        <f t="shared" si="12"/>
        <v>570.5</v>
      </c>
      <c r="Y11" s="249">
        <f t="shared" si="13"/>
        <v>502.2</v>
      </c>
      <c r="Z11" s="236"/>
      <c r="AA11" s="250">
        <f t="shared" si="15"/>
        <v>13.333333333333334</v>
      </c>
      <c r="AB11" s="243">
        <f t="shared" si="16"/>
        <v>20</v>
      </c>
      <c r="AC11" s="251">
        <f t="shared" si="17"/>
        <v>29.09090909090909</v>
      </c>
    </row>
    <row r="12" spans="1:29" ht="14.25">
      <c r="A12" s="148"/>
      <c r="B12" s="165">
        <v>6</v>
      </c>
      <c r="C12" s="166">
        <v>6732</v>
      </c>
      <c r="D12" s="167" t="str">
        <f t="shared" si="0"/>
        <v>アイデアル</v>
      </c>
      <c r="E12" s="265">
        <f t="shared" si="1"/>
        <v>9.59</v>
      </c>
      <c r="F12" s="168">
        <v>6</v>
      </c>
      <c r="G12" s="169">
        <v>0.52561342592592586</v>
      </c>
      <c r="H12" s="166">
        <f t="shared" si="2"/>
        <v>11212.999999999996</v>
      </c>
      <c r="I12" s="170">
        <f t="shared" si="3"/>
        <v>918.4</v>
      </c>
      <c r="J12" s="168"/>
      <c r="K12" s="171">
        <f t="shared" si="4"/>
        <v>4692.3599999999969</v>
      </c>
      <c r="L12" s="169">
        <f t="shared" si="5"/>
        <v>1.9206018518518452E-2</v>
      </c>
      <c r="M12" s="172">
        <f t="shared" si="6"/>
        <v>233.71830985915412</v>
      </c>
      <c r="N12" s="173">
        <f t="shared" si="7"/>
        <v>2.2794970123963263</v>
      </c>
      <c r="O12" s="174">
        <f t="shared" si="14"/>
        <v>17.5</v>
      </c>
      <c r="P12" s="148"/>
      <c r="Q12" s="175"/>
      <c r="R12" s="407"/>
      <c r="S12" s="228"/>
      <c r="T12" s="244">
        <f t="shared" si="8"/>
        <v>9.59</v>
      </c>
      <c r="U12" s="245">
        <f t="shared" si="9"/>
        <v>9.1300000000000008</v>
      </c>
      <c r="V12" s="246">
        <f t="shared" si="10"/>
        <v>8.76</v>
      </c>
      <c r="W12" s="247">
        <f t="shared" si="11"/>
        <v>918.4</v>
      </c>
      <c r="X12" s="248">
        <f t="shared" si="12"/>
        <v>578.79999999999995</v>
      </c>
      <c r="Y12" s="249">
        <f t="shared" si="13"/>
        <v>518</v>
      </c>
      <c r="Z12" s="236"/>
      <c r="AA12" s="250">
        <f t="shared" si="15"/>
        <v>11.666666666666666</v>
      </c>
      <c r="AB12" s="243">
        <f t="shared" si="16"/>
        <v>17.5</v>
      </c>
      <c r="AC12" s="251">
        <f t="shared" si="17"/>
        <v>26.363636363636363</v>
      </c>
    </row>
    <row r="13" spans="1:29" ht="14.25">
      <c r="A13" s="148"/>
      <c r="B13" s="176">
        <v>7</v>
      </c>
      <c r="C13" s="177">
        <v>1985</v>
      </c>
      <c r="D13" s="178" t="str">
        <f t="shared" si="0"/>
        <v>波勝</v>
      </c>
      <c r="E13" s="266">
        <f t="shared" si="1"/>
        <v>7.23</v>
      </c>
      <c r="F13" s="179">
        <v>9</v>
      </c>
      <c r="G13" s="180">
        <v>0.53327546296296291</v>
      </c>
      <c r="H13" s="177">
        <f t="shared" si="2"/>
        <v>11874.999999999996</v>
      </c>
      <c r="I13" s="181">
        <f t="shared" si="3"/>
        <v>1010.9</v>
      </c>
      <c r="J13" s="179"/>
      <c r="K13" s="182">
        <f t="shared" si="4"/>
        <v>4697.6099999999969</v>
      </c>
      <c r="L13" s="180">
        <f t="shared" si="5"/>
        <v>1.926678240740734E-2</v>
      </c>
      <c r="M13" s="183">
        <f t="shared" si="6"/>
        <v>234.45774647887242</v>
      </c>
      <c r="N13" s="184">
        <f t="shared" si="7"/>
        <v>2.1524210526315795</v>
      </c>
      <c r="O13" s="185">
        <f t="shared" si="14"/>
        <v>15</v>
      </c>
      <c r="P13" s="219"/>
      <c r="Q13" s="187"/>
      <c r="R13" s="407"/>
      <c r="S13" s="228"/>
      <c r="T13" s="244">
        <f t="shared" si="8"/>
        <v>7.23</v>
      </c>
      <c r="U13" s="245">
        <f t="shared" si="9"/>
        <v>6.85</v>
      </c>
      <c r="V13" s="246">
        <f t="shared" si="10"/>
        <v>6.8</v>
      </c>
      <c r="W13" s="247">
        <f t="shared" si="11"/>
        <v>1010.9</v>
      </c>
      <c r="X13" s="248">
        <f t="shared" si="12"/>
        <v>639.9</v>
      </c>
      <c r="Y13" s="249">
        <f t="shared" si="13"/>
        <v>574.5</v>
      </c>
      <c r="Z13" s="236"/>
      <c r="AA13" s="250">
        <f t="shared" si="15"/>
        <v>10</v>
      </c>
      <c r="AB13" s="243">
        <f t="shared" si="16"/>
        <v>15</v>
      </c>
      <c r="AC13" s="251">
        <f t="shared" si="17"/>
        <v>23.636363636363637</v>
      </c>
    </row>
    <row r="14" spans="1:29" ht="14.25">
      <c r="A14" s="148"/>
      <c r="B14" s="176">
        <v>8</v>
      </c>
      <c r="C14" s="177">
        <v>1733</v>
      </c>
      <c r="D14" s="178" t="str">
        <f t="shared" si="0"/>
        <v>ケロニア</v>
      </c>
      <c r="E14" s="266">
        <f t="shared" si="1"/>
        <v>9.67</v>
      </c>
      <c r="F14" s="179">
        <v>8</v>
      </c>
      <c r="G14" s="180">
        <v>0.53135416666666668</v>
      </c>
      <c r="H14" s="177">
        <f t="shared" si="2"/>
        <v>11709.000000000004</v>
      </c>
      <c r="I14" s="181">
        <f t="shared" si="3"/>
        <v>915.7</v>
      </c>
      <c r="J14" s="179"/>
      <c r="K14" s="182">
        <f t="shared" si="4"/>
        <v>5207.5300000000034</v>
      </c>
      <c r="L14" s="180">
        <f t="shared" si="5"/>
        <v>2.5168634259259266E-2</v>
      </c>
      <c r="M14" s="183">
        <f t="shared" si="6"/>
        <v>306.27746478873252</v>
      </c>
      <c r="N14" s="184">
        <f t="shared" si="7"/>
        <v>2.1829362029208297</v>
      </c>
      <c r="O14" s="185">
        <f t="shared" si="14"/>
        <v>12.5</v>
      </c>
      <c r="P14" s="186"/>
      <c r="Q14" s="187"/>
      <c r="R14" s="407"/>
      <c r="S14" s="228"/>
      <c r="T14" s="244">
        <f t="shared" si="8"/>
        <v>9.67</v>
      </c>
      <c r="U14" s="245">
        <f t="shared" si="9"/>
        <v>9.57</v>
      </c>
      <c r="V14" s="246">
        <f t="shared" si="10"/>
        <v>9.4</v>
      </c>
      <c r="W14" s="247">
        <f t="shared" si="11"/>
        <v>915.7</v>
      </c>
      <c r="X14" s="248">
        <f t="shared" si="12"/>
        <v>569.29999999999995</v>
      </c>
      <c r="Y14" s="249">
        <f t="shared" si="13"/>
        <v>503.2</v>
      </c>
      <c r="Z14" s="236"/>
      <c r="AA14" s="250">
        <f t="shared" si="15"/>
        <v>8.3333333333333339</v>
      </c>
      <c r="AB14" s="243">
        <f t="shared" si="16"/>
        <v>12.5</v>
      </c>
      <c r="AC14" s="251">
        <f t="shared" si="17"/>
        <v>20.909090909090907</v>
      </c>
    </row>
    <row r="15" spans="1:29" ht="14.25">
      <c r="A15" s="148"/>
      <c r="B15" s="176">
        <v>9</v>
      </c>
      <c r="C15" s="177">
        <v>4010</v>
      </c>
      <c r="D15" s="178" t="str">
        <f t="shared" si="0"/>
        <v>ナジャ</v>
      </c>
      <c r="E15" s="266">
        <f t="shared" si="1"/>
        <v>10.47</v>
      </c>
      <c r="F15" s="179">
        <v>7</v>
      </c>
      <c r="G15" s="180">
        <v>0.53020833333333328</v>
      </c>
      <c r="H15" s="177">
        <f t="shared" si="2"/>
        <v>11609.999999999996</v>
      </c>
      <c r="I15" s="181">
        <f t="shared" si="3"/>
        <v>891.5</v>
      </c>
      <c r="J15" s="179"/>
      <c r="K15" s="182">
        <f t="shared" si="4"/>
        <v>5280.3499999999967</v>
      </c>
      <c r="L15" s="180">
        <f t="shared" si="5"/>
        <v>2.6011458333333265E-2</v>
      </c>
      <c r="M15" s="183">
        <f t="shared" si="6"/>
        <v>316.53380281690056</v>
      </c>
      <c r="N15" s="184">
        <f t="shared" si="7"/>
        <v>2.2015503875968996</v>
      </c>
      <c r="O15" s="185">
        <f t="shared" si="14"/>
        <v>10</v>
      </c>
      <c r="P15" s="219"/>
      <c r="Q15" s="187"/>
      <c r="R15" s="407"/>
      <c r="S15" s="228"/>
      <c r="T15" s="244">
        <f t="shared" si="8"/>
        <v>10.47</v>
      </c>
      <c r="U15" s="245">
        <f t="shared" si="9"/>
        <v>10.24</v>
      </c>
      <c r="V15" s="246">
        <f t="shared" si="10"/>
        <v>10.039999999999999</v>
      </c>
      <c r="W15" s="247">
        <f t="shared" si="11"/>
        <v>891.5</v>
      </c>
      <c r="X15" s="248">
        <f t="shared" si="12"/>
        <v>555.9</v>
      </c>
      <c r="Y15" s="249">
        <f t="shared" si="13"/>
        <v>489.8</v>
      </c>
      <c r="Z15" s="236"/>
      <c r="AA15" s="250">
        <f t="shared" si="15"/>
        <v>6.666666666666667</v>
      </c>
      <c r="AB15" s="243">
        <f t="shared" si="16"/>
        <v>10</v>
      </c>
      <c r="AC15" s="251">
        <f t="shared" si="17"/>
        <v>18.18181818181818</v>
      </c>
    </row>
    <row r="16" spans="1:29" ht="14.25">
      <c r="A16" s="148"/>
      <c r="B16" s="188">
        <v>10</v>
      </c>
      <c r="C16" s="189">
        <v>346</v>
      </c>
      <c r="D16" s="190" t="str">
        <f t="shared" si="0"/>
        <v>飛車角</v>
      </c>
      <c r="E16" s="267">
        <f t="shared" si="1"/>
        <v>8.4</v>
      </c>
      <c r="F16" s="191">
        <v>10</v>
      </c>
      <c r="G16" s="192">
        <v>0.55321759259259262</v>
      </c>
      <c r="H16" s="189">
        <f t="shared" si="2"/>
        <v>13598.000000000004</v>
      </c>
      <c r="I16" s="203">
        <f t="shared" si="3"/>
        <v>960.8</v>
      </c>
      <c r="J16" s="191"/>
      <c r="K16" s="205">
        <f t="shared" si="4"/>
        <v>6776.3200000000043</v>
      </c>
      <c r="L16" s="192">
        <f t="shared" si="5"/>
        <v>4.3325925925925941E-2</v>
      </c>
      <c r="M16" s="206">
        <f t="shared" si="6"/>
        <v>527.23380281690163</v>
      </c>
      <c r="N16" s="207">
        <f t="shared" si="7"/>
        <v>1.8796881894396229</v>
      </c>
      <c r="O16" s="208">
        <f t="shared" si="14"/>
        <v>7.5</v>
      </c>
      <c r="P16" s="260" t="s">
        <v>370</v>
      </c>
      <c r="Q16" s="202"/>
      <c r="R16" s="407"/>
      <c r="S16" s="228"/>
      <c r="T16" s="244">
        <f t="shared" si="8"/>
        <v>8.4</v>
      </c>
      <c r="U16" s="245">
        <f t="shared" si="9"/>
        <v>8.58</v>
      </c>
      <c r="V16" s="246">
        <f t="shared" si="10"/>
        <v>8.68</v>
      </c>
      <c r="W16" s="247">
        <f t="shared" si="11"/>
        <v>960.8</v>
      </c>
      <c r="X16" s="248">
        <f t="shared" si="12"/>
        <v>591.5</v>
      </c>
      <c r="Y16" s="249">
        <f t="shared" si="13"/>
        <v>519.79999999999995</v>
      </c>
      <c r="Z16" s="236"/>
      <c r="AA16" s="250">
        <f t="shared" si="15"/>
        <v>5</v>
      </c>
      <c r="AB16" s="243">
        <f t="shared" si="16"/>
        <v>7.5</v>
      </c>
      <c r="AC16" s="251">
        <f t="shared" si="17"/>
        <v>15.454545454545453</v>
      </c>
    </row>
    <row r="17" spans="1:29" ht="14.25">
      <c r="A17" s="148"/>
      <c r="B17" s="165">
        <v>11</v>
      </c>
      <c r="C17" s="166">
        <v>162</v>
      </c>
      <c r="D17" s="167" t="str">
        <f t="shared" si="0"/>
        <v>ﾌｪﾆｯｸｽ</v>
      </c>
      <c r="E17" s="265">
        <f t="shared" si="1"/>
        <v>6.96</v>
      </c>
      <c r="F17" s="168">
        <v>12</v>
      </c>
      <c r="G17" s="169">
        <v>0.56209490740740742</v>
      </c>
      <c r="H17" s="209">
        <f t="shared" si="2"/>
        <v>14365.000000000002</v>
      </c>
      <c r="I17" s="210">
        <f t="shared" si="3"/>
        <v>1024.3</v>
      </c>
      <c r="J17" s="211"/>
      <c r="K17" s="212">
        <f t="shared" si="4"/>
        <v>7092.4700000000021</v>
      </c>
      <c r="L17" s="213">
        <f t="shared" si="5"/>
        <v>4.6985069444444437E-2</v>
      </c>
      <c r="M17" s="214">
        <f t="shared" si="6"/>
        <v>571.76197183098589</v>
      </c>
      <c r="N17" s="215">
        <f t="shared" si="7"/>
        <v>1.7793247476505392</v>
      </c>
      <c r="O17" s="174">
        <f t="shared" si="14"/>
        <v>5</v>
      </c>
      <c r="P17" s="264"/>
      <c r="Q17" s="175"/>
      <c r="R17" s="407"/>
      <c r="S17" s="228"/>
      <c r="T17" s="244">
        <f t="shared" si="8"/>
        <v>6.96</v>
      </c>
      <c r="U17" s="245">
        <f t="shared" si="9"/>
        <v>6.84</v>
      </c>
      <c r="V17" s="246">
        <f t="shared" si="10"/>
        <v>6.95</v>
      </c>
      <c r="W17" s="247">
        <f t="shared" si="11"/>
        <v>1024.3</v>
      </c>
      <c r="X17" s="248">
        <f t="shared" si="12"/>
        <v>640.4</v>
      </c>
      <c r="Y17" s="249">
        <f t="shared" si="13"/>
        <v>569.4</v>
      </c>
      <c r="Z17" s="236"/>
      <c r="AA17" s="250">
        <f t="shared" si="15"/>
        <v>3.3333333333333335</v>
      </c>
      <c r="AB17" s="243">
        <f t="shared" si="16"/>
        <v>5</v>
      </c>
      <c r="AC17" s="251">
        <f t="shared" si="17"/>
        <v>12.727272727272727</v>
      </c>
    </row>
    <row r="18" spans="1:29" ht="14.25">
      <c r="A18" s="148"/>
      <c r="B18" s="176">
        <v>12</v>
      </c>
      <c r="C18" s="177">
        <v>131</v>
      </c>
      <c r="D18" s="178" t="str">
        <f t="shared" si="0"/>
        <v>ふるたか</v>
      </c>
      <c r="E18" s="266">
        <f t="shared" si="1"/>
        <v>8.2899999999999991</v>
      </c>
      <c r="F18" s="179">
        <v>11</v>
      </c>
      <c r="G18" s="180">
        <v>0.55758101851851849</v>
      </c>
      <c r="H18" s="177">
        <f t="shared" si="2"/>
        <v>13975</v>
      </c>
      <c r="I18" s="181">
        <f t="shared" si="3"/>
        <v>965.1</v>
      </c>
      <c r="J18" s="259"/>
      <c r="K18" s="182">
        <f t="shared" si="4"/>
        <v>7122.79</v>
      </c>
      <c r="L18" s="180">
        <f t="shared" si="5"/>
        <v>4.7335995370370337E-2</v>
      </c>
      <c r="M18" s="183">
        <f t="shared" si="6"/>
        <v>576.03239436619685</v>
      </c>
      <c r="N18" s="184">
        <f t="shared" si="7"/>
        <v>1.8289803220035776</v>
      </c>
      <c r="O18" s="185">
        <f t="shared" si="14"/>
        <v>2.5</v>
      </c>
      <c r="P18" s="219" t="s">
        <v>370</v>
      </c>
      <c r="Q18" s="187"/>
      <c r="R18" s="407"/>
      <c r="S18" s="228"/>
      <c r="T18" s="244">
        <f t="shared" si="8"/>
        <v>8.2899999999999991</v>
      </c>
      <c r="U18" s="245">
        <f t="shared" si="9"/>
        <v>8.31</v>
      </c>
      <c r="V18" s="246">
        <f t="shared" si="10"/>
        <v>8.0500000000000007</v>
      </c>
      <c r="W18" s="247">
        <f t="shared" si="11"/>
        <v>965.1</v>
      </c>
      <c r="X18" s="248">
        <f t="shared" si="12"/>
        <v>598.20000000000005</v>
      </c>
      <c r="Y18" s="249">
        <f t="shared" si="13"/>
        <v>536.29999999999995</v>
      </c>
      <c r="Z18" s="236"/>
      <c r="AA18" s="250">
        <f t="shared" si="15"/>
        <v>1.6666666666666667</v>
      </c>
      <c r="AB18" s="243">
        <f t="shared" si="16"/>
        <v>2.5</v>
      </c>
      <c r="AC18" s="251">
        <f t="shared" si="17"/>
        <v>10</v>
      </c>
    </row>
    <row r="19" spans="1:29" ht="14.25">
      <c r="A19" s="148"/>
      <c r="B19" s="176"/>
      <c r="C19" s="177"/>
      <c r="D19" s="178"/>
      <c r="E19" s="266"/>
      <c r="F19" s="179"/>
      <c r="G19" s="180"/>
      <c r="H19" s="177"/>
      <c r="I19" s="181"/>
      <c r="J19" s="179"/>
      <c r="K19" s="182"/>
      <c r="L19" s="180"/>
      <c r="M19" s="183"/>
      <c r="N19" s="184"/>
      <c r="O19" s="185"/>
      <c r="P19" s="219"/>
      <c r="Q19" s="187"/>
      <c r="R19" s="407"/>
      <c r="S19" s="228"/>
      <c r="T19" s="244" t="str">
        <f t="shared" si="8"/>
        <v/>
      </c>
      <c r="U19" s="245" t="str">
        <f t="shared" si="9"/>
        <v/>
      </c>
      <c r="V19" s="246" t="str">
        <f t="shared" si="10"/>
        <v/>
      </c>
      <c r="W19" s="247" t="str">
        <f t="shared" si="11"/>
        <v/>
      </c>
      <c r="X19" s="248" t="str">
        <f t="shared" si="12"/>
        <v/>
      </c>
      <c r="Y19" s="249" t="str">
        <f t="shared" si="13"/>
        <v/>
      </c>
      <c r="Z19" s="236"/>
      <c r="AA19" s="250" t="str">
        <f t="shared" si="15"/>
        <v/>
      </c>
      <c r="AB19" s="243" t="str">
        <f t="shared" si="16"/>
        <v/>
      </c>
      <c r="AC19" s="251" t="str">
        <f t="shared" si="17"/>
        <v/>
      </c>
    </row>
    <row r="20" spans="1:29" ht="14.25">
      <c r="A20" s="148"/>
      <c r="B20" s="176"/>
      <c r="C20" s="177"/>
      <c r="D20" s="178"/>
      <c r="E20" s="266"/>
      <c r="F20" s="179"/>
      <c r="G20" s="180"/>
      <c r="H20" s="177"/>
      <c r="I20" s="181"/>
      <c r="J20" s="179"/>
      <c r="K20" s="182"/>
      <c r="L20" s="180"/>
      <c r="M20" s="183"/>
      <c r="N20" s="184"/>
      <c r="O20" s="185"/>
      <c r="P20" s="264"/>
      <c r="Q20" s="187"/>
      <c r="R20" s="407"/>
      <c r="S20" s="228"/>
      <c r="T20" s="244" t="str">
        <f t="shared" si="8"/>
        <v/>
      </c>
      <c r="U20" s="245" t="str">
        <f t="shared" si="9"/>
        <v/>
      </c>
      <c r="V20" s="246" t="str">
        <f t="shared" si="10"/>
        <v/>
      </c>
      <c r="W20" s="247" t="str">
        <f t="shared" si="11"/>
        <v/>
      </c>
      <c r="X20" s="248" t="str">
        <f t="shared" si="12"/>
        <v/>
      </c>
      <c r="Y20" s="249" t="str">
        <f t="shared" si="13"/>
        <v/>
      </c>
      <c r="Z20" s="236"/>
      <c r="AA20" s="250" t="str">
        <f t="shared" si="15"/>
        <v/>
      </c>
      <c r="AB20" s="243" t="str">
        <f t="shared" si="16"/>
        <v/>
      </c>
      <c r="AC20" s="251" t="str">
        <f t="shared" si="17"/>
        <v/>
      </c>
    </row>
    <row r="21" spans="1:29" ht="14.25">
      <c r="A21" s="148"/>
      <c r="B21" s="188"/>
      <c r="C21" s="189"/>
      <c r="D21" s="190"/>
      <c r="E21" s="191"/>
      <c r="F21" s="191"/>
      <c r="G21" s="192"/>
      <c r="H21" s="189"/>
      <c r="I21" s="203"/>
      <c r="J21" s="191"/>
      <c r="K21" s="205"/>
      <c r="L21" s="192"/>
      <c r="M21" s="206"/>
      <c r="N21" s="207"/>
      <c r="O21" s="208"/>
      <c r="P21" s="260"/>
      <c r="Q21" s="202"/>
      <c r="R21" s="407"/>
      <c r="S21" s="228"/>
      <c r="T21" s="244" t="str">
        <f t="shared" si="8"/>
        <v/>
      </c>
      <c r="U21" s="245" t="str">
        <f t="shared" si="9"/>
        <v/>
      </c>
      <c r="V21" s="246" t="str">
        <f t="shared" si="10"/>
        <v/>
      </c>
      <c r="W21" s="247" t="str">
        <f t="shared" si="11"/>
        <v/>
      </c>
      <c r="X21" s="248" t="str">
        <f t="shared" si="12"/>
        <v/>
      </c>
      <c r="Y21" s="249" t="str">
        <f t="shared" si="13"/>
        <v/>
      </c>
      <c r="Z21" s="236"/>
      <c r="AA21" s="250" t="str">
        <f t="shared" si="15"/>
        <v/>
      </c>
      <c r="AB21" s="243" t="str">
        <f t="shared" si="16"/>
        <v/>
      </c>
      <c r="AC21" s="251" t="str">
        <f t="shared" si="17"/>
        <v/>
      </c>
    </row>
    <row r="22" spans="1:29" ht="14.25">
      <c r="A22" s="148"/>
      <c r="B22" s="217"/>
      <c r="C22" s="268"/>
      <c r="D22" s="222"/>
      <c r="E22" s="168"/>
      <c r="F22" s="211"/>
      <c r="G22" s="213"/>
      <c r="H22" s="209"/>
      <c r="I22" s="210"/>
      <c r="J22" s="211"/>
      <c r="K22" s="212"/>
      <c r="L22" s="213"/>
      <c r="M22" s="214"/>
      <c r="N22" s="215"/>
      <c r="O22" s="174"/>
      <c r="P22" s="269"/>
      <c r="Q22" s="218"/>
      <c r="R22" s="407"/>
      <c r="S22" s="228"/>
      <c r="T22" s="244" t="str">
        <f t="shared" si="8"/>
        <v/>
      </c>
      <c r="U22" s="245" t="str">
        <f t="shared" si="9"/>
        <v/>
      </c>
      <c r="V22" s="246" t="str">
        <f t="shared" si="10"/>
        <v/>
      </c>
      <c r="W22" s="247" t="str">
        <f t="shared" si="11"/>
        <v/>
      </c>
      <c r="X22" s="248" t="str">
        <f t="shared" si="12"/>
        <v/>
      </c>
      <c r="Y22" s="249" t="str">
        <f t="shared" si="13"/>
        <v/>
      </c>
      <c r="Z22" s="236"/>
      <c r="AA22" s="250" t="str">
        <f t="shared" si="15"/>
        <v/>
      </c>
      <c r="AB22" s="243" t="str">
        <f t="shared" si="16"/>
        <v/>
      </c>
      <c r="AC22" s="251" t="str">
        <f t="shared" si="17"/>
        <v/>
      </c>
    </row>
    <row r="23" spans="1:29" ht="14.25">
      <c r="A23" s="148"/>
      <c r="B23" s="176"/>
      <c r="C23" s="177"/>
      <c r="D23" s="178" t="str">
        <f>IF(ISBLANK(C23),"",VLOOKUP(C23,各艇データ,2,FALSE))</f>
        <v/>
      </c>
      <c r="E23" s="179"/>
      <c r="F23" s="179"/>
      <c r="G23" s="180"/>
      <c r="H23" s="177"/>
      <c r="I23" s="181"/>
      <c r="J23" s="179"/>
      <c r="K23" s="182"/>
      <c r="L23" s="180"/>
      <c r="M23" s="183"/>
      <c r="N23" s="184"/>
      <c r="O23" s="185"/>
      <c r="P23" s="219"/>
      <c r="Q23" s="187"/>
      <c r="R23" s="407"/>
      <c r="S23" s="228"/>
      <c r="T23" s="244" t="str">
        <f t="shared" si="8"/>
        <v/>
      </c>
      <c r="U23" s="245" t="str">
        <f t="shared" si="9"/>
        <v/>
      </c>
      <c r="V23" s="246" t="str">
        <f t="shared" si="10"/>
        <v/>
      </c>
      <c r="W23" s="247" t="str">
        <f t="shared" si="11"/>
        <v/>
      </c>
      <c r="X23" s="248" t="str">
        <f t="shared" si="12"/>
        <v/>
      </c>
      <c r="Y23" s="249" t="str">
        <f t="shared" si="13"/>
        <v/>
      </c>
      <c r="Z23" s="236"/>
      <c r="AA23" s="250" t="str">
        <f t="shared" si="15"/>
        <v/>
      </c>
      <c r="AB23" s="243" t="str">
        <f t="shared" si="16"/>
        <v/>
      </c>
      <c r="AC23" s="251" t="str">
        <f t="shared" si="17"/>
        <v/>
      </c>
    </row>
    <row r="24" spans="1:29" ht="14.25">
      <c r="A24" s="148"/>
      <c r="B24" s="217"/>
      <c r="C24" s="177"/>
      <c r="D24" s="222"/>
      <c r="E24" s="179"/>
      <c r="F24" s="179"/>
      <c r="G24" s="180"/>
      <c r="H24" s="177"/>
      <c r="I24" s="181"/>
      <c r="J24" s="179"/>
      <c r="K24" s="182"/>
      <c r="L24" s="180"/>
      <c r="M24" s="183"/>
      <c r="N24" s="184"/>
      <c r="O24" s="185"/>
      <c r="P24" s="220"/>
      <c r="Q24" s="187"/>
      <c r="R24" s="407"/>
      <c r="S24" s="228"/>
      <c r="T24" s="244" t="str">
        <f t="shared" si="8"/>
        <v/>
      </c>
      <c r="U24" s="245" t="str">
        <f t="shared" si="9"/>
        <v/>
      </c>
      <c r="V24" s="246" t="str">
        <f t="shared" si="10"/>
        <v/>
      </c>
      <c r="W24" s="247" t="str">
        <f t="shared" si="11"/>
        <v/>
      </c>
      <c r="X24" s="248" t="str">
        <f t="shared" si="12"/>
        <v/>
      </c>
      <c r="Y24" s="249" t="str">
        <f t="shared" si="13"/>
        <v/>
      </c>
      <c r="Z24" s="236"/>
      <c r="AA24" s="250" t="str">
        <f t="shared" si="15"/>
        <v/>
      </c>
      <c r="AB24" s="243" t="str">
        <f t="shared" si="16"/>
        <v/>
      </c>
      <c r="AC24" s="251" t="str">
        <f t="shared" si="17"/>
        <v/>
      </c>
    </row>
    <row r="25" spans="1:29" ht="14.25">
      <c r="A25" s="148"/>
      <c r="B25" s="176"/>
      <c r="C25" s="177"/>
      <c r="D25" s="178" t="str">
        <f t="shared" ref="D25:D31" si="18">IF(ISBLANK(C25),"",VLOOKUP(C25,各艇データ,2,FALSE))</f>
        <v/>
      </c>
      <c r="E25" s="179"/>
      <c r="F25" s="179"/>
      <c r="G25" s="180"/>
      <c r="H25" s="177"/>
      <c r="I25" s="181"/>
      <c r="J25" s="179"/>
      <c r="K25" s="182"/>
      <c r="L25" s="180"/>
      <c r="M25" s="183"/>
      <c r="N25" s="184"/>
      <c r="O25" s="185"/>
      <c r="P25" s="220"/>
      <c r="Q25" s="187"/>
      <c r="R25" s="407"/>
      <c r="S25" s="228"/>
      <c r="T25" s="244" t="str">
        <f t="shared" si="8"/>
        <v/>
      </c>
      <c r="U25" s="245" t="str">
        <f t="shared" si="9"/>
        <v/>
      </c>
      <c r="V25" s="246" t="str">
        <f t="shared" si="10"/>
        <v/>
      </c>
      <c r="W25" s="247" t="str">
        <f t="shared" si="11"/>
        <v/>
      </c>
      <c r="X25" s="248" t="str">
        <f t="shared" si="12"/>
        <v/>
      </c>
      <c r="Y25" s="249" t="str">
        <f t="shared" si="13"/>
        <v/>
      </c>
      <c r="Z25" s="236"/>
      <c r="AA25" s="250" t="str">
        <f t="shared" si="15"/>
        <v/>
      </c>
      <c r="AB25" s="243" t="str">
        <f t="shared" si="16"/>
        <v/>
      </c>
      <c r="AC25" s="251" t="str">
        <f t="shared" si="17"/>
        <v/>
      </c>
    </row>
    <row r="26" spans="1:29" ht="14.25">
      <c r="A26" s="148"/>
      <c r="B26" s="188"/>
      <c r="C26" s="189"/>
      <c r="D26" s="190" t="str">
        <f t="shared" si="18"/>
        <v/>
      </c>
      <c r="E26" s="191"/>
      <c r="F26" s="191"/>
      <c r="G26" s="192"/>
      <c r="H26" s="189" t="str">
        <f>IFERROR(IF(G26-$Q$2&lt;=0,"",(G26-$Q$2)*86400),"")</f>
        <v/>
      </c>
      <c r="I26" s="203" t="str">
        <f>IF($I$6="Ⅰ",W26,IF($I$6="Ⅱ",X26,IF($I$6="Ⅲ",Y26,"")))</f>
        <v/>
      </c>
      <c r="J26" s="191"/>
      <c r="K26" s="205" t="str">
        <f>IFERROR(H26*(1+0.01*J26)-I26*$N$3,"")</f>
        <v/>
      </c>
      <c r="L26" s="192" t="str">
        <f>IFERROR((K26-$K$7)/86400,"")</f>
        <v/>
      </c>
      <c r="M26" s="206" t="str">
        <f>IFERROR((K26-$K$7)/$N$3,"")</f>
        <v/>
      </c>
      <c r="N26" s="207" t="str">
        <f>IFERROR($N$3/(H26/3600),"")</f>
        <v/>
      </c>
      <c r="O26" s="208" t="str">
        <f>IF($O$6="MAX=20",AA26,IF($O$6="MAX=30",AB26,IF($O$6="MAX=40",AC26,"")))</f>
        <v/>
      </c>
      <c r="P26" s="221"/>
      <c r="Q26" s="202"/>
      <c r="R26" s="407"/>
      <c r="S26" s="228"/>
      <c r="T26" s="244" t="str">
        <f t="shared" si="8"/>
        <v/>
      </c>
      <c r="U26" s="245" t="str">
        <f t="shared" si="9"/>
        <v/>
      </c>
      <c r="V26" s="246" t="str">
        <f t="shared" si="10"/>
        <v/>
      </c>
      <c r="W26" s="247" t="str">
        <f t="shared" si="11"/>
        <v/>
      </c>
      <c r="X26" s="248" t="str">
        <f t="shared" si="12"/>
        <v/>
      </c>
      <c r="Y26" s="249" t="str">
        <f t="shared" si="13"/>
        <v/>
      </c>
      <c r="Z26" s="236"/>
      <c r="AA26" s="250" t="str">
        <f t="shared" si="15"/>
        <v/>
      </c>
      <c r="AB26" s="243" t="str">
        <f t="shared" si="16"/>
        <v/>
      </c>
      <c r="AC26" s="251" t="str">
        <f t="shared" si="17"/>
        <v/>
      </c>
    </row>
    <row r="27" spans="1:29"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407"/>
      <c r="S27" s="228"/>
      <c r="T27" s="244" t="str">
        <f t="shared" si="8"/>
        <v/>
      </c>
      <c r="U27" s="245" t="str">
        <f t="shared" si="9"/>
        <v/>
      </c>
      <c r="V27" s="246" t="str">
        <f t="shared" si="10"/>
        <v/>
      </c>
      <c r="W27" s="247" t="str">
        <f t="shared" si="11"/>
        <v/>
      </c>
      <c r="X27" s="248" t="str">
        <f t="shared" si="12"/>
        <v/>
      </c>
      <c r="Y27" s="249" t="str">
        <f t="shared" si="13"/>
        <v/>
      </c>
      <c r="Z27" s="236"/>
      <c r="AA27" s="250" t="str">
        <f t="shared" si="15"/>
        <v/>
      </c>
      <c r="AB27" s="243" t="str">
        <f t="shared" si="16"/>
        <v/>
      </c>
      <c r="AC27" s="251" t="str">
        <f t="shared" si="17"/>
        <v/>
      </c>
    </row>
    <row r="28" spans="1:29" ht="14.25" customHeight="1">
      <c r="A28" s="148"/>
      <c r="B28" s="176"/>
      <c r="C28" s="177"/>
      <c r="D28" s="178" t="str">
        <f t="shared" si="18"/>
        <v/>
      </c>
      <c r="E28" s="179"/>
      <c r="F28" s="179"/>
      <c r="G28" s="180"/>
      <c r="H28" s="177"/>
      <c r="I28" s="181"/>
      <c r="J28" s="179"/>
      <c r="K28" s="182"/>
      <c r="L28" s="180"/>
      <c r="M28" s="183"/>
      <c r="N28" s="184"/>
      <c r="O28" s="185"/>
      <c r="P28" s="224"/>
      <c r="Q28" s="187"/>
      <c r="R28" s="407"/>
      <c r="S28" s="228"/>
      <c r="T28" s="244" t="str">
        <f t="shared" si="8"/>
        <v/>
      </c>
      <c r="U28" s="245" t="str">
        <f t="shared" si="9"/>
        <v/>
      </c>
      <c r="V28" s="246" t="str">
        <f t="shared" si="10"/>
        <v/>
      </c>
      <c r="W28" s="247" t="str">
        <f t="shared" si="11"/>
        <v/>
      </c>
      <c r="X28" s="248" t="str">
        <f t="shared" si="12"/>
        <v/>
      </c>
      <c r="Y28" s="249" t="str">
        <f t="shared" si="13"/>
        <v/>
      </c>
      <c r="Z28" s="236"/>
      <c r="AA28" s="250" t="str">
        <f t="shared" si="15"/>
        <v/>
      </c>
      <c r="AB28" s="243" t="str">
        <f t="shared" si="16"/>
        <v/>
      </c>
      <c r="AC28" s="251" t="str">
        <f t="shared" si="17"/>
        <v/>
      </c>
    </row>
    <row r="29" spans="1:29" ht="14.25">
      <c r="A29" s="148"/>
      <c r="B29" s="176"/>
      <c r="C29" s="177"/>
      <c r="D29" s="178" t="str">
        <f t="shared" si="18"/>
        <v/>
      </c>
      <c r="E29" s="179"/>
      <c r="F29" s="179"/>
      <c r="G29" s="180"/>
      <c r="H29" s="177"/>
      <c r="I29" s="181"/>
      <c r="J29" s="179"/>
      <c r="K29" s="182"/>
      <c r="L29" s="180"/>
      <c r="M29" s="183"/>
      <c r="N29" s="184"/>
      <c r="O29" s="185"/>
      <c r="P29" s="220"/>
      <c r="Q29" s="187"/>
      <c r="R29" s="407"/>
      <c r="S29" s="228"/>
      <c r="T29" s="244" t="str">
        <f t="shared" si="8"/>
        <v/>
      </c>
      <c r="U29" s="245" t="str">
        <f t="shared" si="9"/>
        <v/>
      </c>
      <c r="V29" s="246" t="str">
        <f t="shared" si="10"/>
        <v/>
      </c>
      <c r="W29" s="247" t="str">
        <f t="shared" si="11"/>
        <v/>
      </c>
      <c r="X29" s="248" t="str">
        <f t="shared" si="12"/>
        <v/>
      </c>
      <c r="Y29" s="249" t="str">
        <f t="shared" si="13"/>
        <v/>
      </c>
      <c r="Z29" s="236"/>
      <c r="AA29" s="250" t="str">
        <f t="shared" si="15"/>
        <v/>
      </c>
      <c r="AB29" s="243" t="str">
        <f t="shared" si="16"/>
        <v/>
      </c>
      <c r="AC29" s="251" t="str">
        <f t="shared" si="17"/>
        <v/>
      </c>
    </row>
    <row r="30" spans="1:29" ht="14.25" customHeight="1">
      <c r="A30" s="148"/>
      <c r="B30" s="176"/>
      <c r="C30" s="177"/>
      <c r="D30" s="178" t="str">
        <f t="shared" si="18"/>
        <v/>
      </c>
      <c r="E30" s="179"/>
      <c r="F30" s="179"/>
      <c r="G30" s="180"/>
      <c r="H30" s="177"/>
      <c r="I30" s="181"/>
      <c r="J30" s="179"/>
      <c r="K30" s="182"/>
      <c r="L30" s="180"/>
      <c r="M30" s="183"/>
      <c r="N30" s="184"/>
      <c r="O30" s="185"/>
      <c r="P30" s="220"/>
      <c r="Q30" s="187"/>
      <c r="R30" s="407"/>
      <c r="S30" s="228"/>
      <c r="T30" s="244" t="str">
        <f t="shared" si="8"/>
        <v/>
      </c>
      <c r="U30" s="245" t="str">
        <f t="shared" si="9"/>
        <v/>
      </c>
      <c r="V30" s="246" t="str">
        <f t="shared" si="10"/>
        <v/>
      </c>
      <c r="W30" s="247" t="str">
        <f t="shared" si="11"/>
        <v/>
      </c>
      <c r="X30" s="248" t="str">
        <f t="shared" si="12"/>
        <v/>
      </c>
      <c r="Y30" s="249" t="str">
        <f t="shared" si="13"/>
        <v/>
      </c>
      <c r="Z30" s="236"/>
      <c r="AA30" s="250" t="str">
        <f t="shared" si="15"/>
        <v/>
      </c>
      <c r="AB30" s="243" t="str">
        <f t="shared" si="16"/>
        <v/>
      </c>
      <c r="AC30" s="251" t="str">
        <f t="shared" si="17"/>
        <v/>
      </c>
    </row>
    <row r="31" spans="1:29" ht="15" thickBot="1">
      <c r="A31" s="148"/>
      <c r="B31" s="176"/>
      <c r="C31" s="177"/>
      <c r="D31" s="190" t="str">
        <f t="shared" si="18"/>
        <v/>
      </c>
      <c r="E31" s="191"/>
      <c r="F31" s="179"/>
      <c r="G31" s="180"/>
      <c r="H31" s="189" t="str">
        <f>IFERROR(IF(G31-$Q$2&lt;=0,"",(G31-$Q$2)*86400),"")</f>
        <v/>
      </c>
      <c r="I31" s="203" t="str">
        <f>IF($I$6="Ⅰ",W31,IF($I$6="Ⅱ",X31,IF($I$6="Ⅲ",Y31,"")))</f>
        <v/>
      </c>
      <c r="J31" s="191"/>
      <c r="K31" s="205" t="str">
        <f>IFERROR(H31*(1+0.01*J31)-I31*$N$3,"")</f>
        <v/>
      </c>
      <c r="L31" s="192" t="str">
        <f>IFERROR((K31-$K$7)/86400,"")</f>
        <v/>
      </c>
      <c r="M31" s="206" t="str">
        <f>IFERROR((K31-$K$7)/$N$3,"")</f>
        <v/>
      </c>
      <c r="N31" s="207" t="str">
        <f>IFERROR($N$3/(H31/3600),"")</f>
        <v/>
      </c>
      <c r="O31" s="208" t="str">
        <f>IF($O$6="MAX=20",AA31,IF($O$6="MAX=30",AB31,IF($O$6="MAX=40",AC31,"")))</f>
        <v/>
      </c>
      <c r="P31" s="221"/>
      <c r="Q31" s="202"/>
      <c r="R31" s="407"/>
      <c r="S31" s="228"/>
      <c r="T31" s="252" t="str">
        <f t="shared" si="8"/>
        <v/>
      </c>
      <c r="U31" s="253" t="str">
        <f t="shared" si="9"/>
        <v/>
      </c>
      <c r="V31" s="254" t="str">
        <f t="shared" si="10"/>
        <v/>
      </c>
      <c r="W31" s="255" t="str">
        <f t="shared" si="11"/>
        <v/>
      </c>
      <c r="X31" s="256" t="str">
        <f t="shared" si="12"/>
        <v/>
      </c>
      <c r="Y31" s="257" t="str">
        <f t="shared" si="13"/>
        <v/>
      </c>
      <c r="Z31" s="236"/>
      <c r="AA31" s="261" t="str">
        <f t="shared" si="15"/>
        <v/>
      </c>
      <c r="AB31" s="262" t="str">
        <f t="shared" si="16"/>
        <v/>
      </c>
      <c r="AC31" s="263" t="str">
        <f t="shared" si="17"/>
        <v/>
      </c>
    </row>
    <row r="32" spans="1:29" ht="15" customHeight="1">
      <c r="A32" s="148"/>
      <c r="B32" s="442" t="s">
        <v>267</v>
      </c>
      <c r="C32" s="443"/>
      <c r="D32" s="444"/>
      <c r="E32" s="225" t="s">
        <v>184</v>
      </c>
      <c r="F32" s="451" t="s">
        <v>354</v>
      </c>
      <c r="G32" s="452"/>
      <c r="H32" s="453" t="s">
        <v>371</v>
      </c>
      <c r="I32" s="454"/>
      <c r="J32" s="454"/>
      <c r="K32" s="454"/>
      <c r="L32" s="454"/>
      <c r="M32" s="454"/>
      <c r="N32" s="454"/>
      <c r="O32" s="454"/>
      <c r="P32" s="454"/>
      <c r="Q32" s="455"/>
      <c r="R32" s="408"/>
      <c r="S32" s="139"/>
      <c r="T32" s="231"/>
      <c r="U32" s="231"/>
      <c r="V32" s="231"/>
      <c r="Y32" s="231"/>
      <c r="Z32" s="231"/>
    </row>
    <row r="33" spans="1:26" ht="15" customHeight="1">
      <c r="A33" s="148"/>
      <c r="B33" s="445"/>
      <c r="C33" s="446"/>
      <c r="D33" s="447"/>
      <c r="E33" s="226" t="s">
        <v>185</v>
      </c>
      <c r="F33" s="462" t="s">
        <v>369</v>
      </c>
      <c r="G33" s="463"/>
      <c r="H33" s="456"/>
      <c r="I33" s="457"/>
      <c r="J33" s="457"/>
      <c r="K33" s="457"/>
      <c r="L33" s="457"/>
      <c r="M33" s="457"/>
      <c r="N33" s="457"/>
      <c r="O33" s="457"/>
      <c r="P33" s="457"/>
      <c r="Q33" s="458"/>
      <c r="R33" s="408"/>
      <c r="S33" s="139"/>
      <c r="T33" s="231"/>
      <c r="U33" s="231"/>
      <c r="V33" s="231"/>
      <c r="Y33" s="231"/>
      <c r="Z33" s="231"/>
    </row>
    <row r="34" spans="1:26" ht="23.25" customHeight="1">
      <c r="A34" s="148"/>
      <c r="B34" s="448"/>
      <c r="C34" s="449"/>
      <c r="D34" s="450"/>
      <c r="E34" s="226" t="s">
        <v>186</v>
      </c>
      <c r="F34" s="462" t="s">
        <v>355</v>
      </c>
      <c r="G34" s="463"/>
      <c r="H34" s="456"/>
      <c r="I34" s="457"/>
      <c r="J34" s="457"/>
      <c r="K34" s="457"/>
      <c r="L34" s="457"/>
      <c r="M34" s="457"/>
      <c r="N34" s="457"/>
      <c r="O34" s="457"/>
      <c r="P34" s="457"/>
      <c r="Q34" s="458"/>
      <c r="R34" s="408"/>
      <c r="S34" s="139"/>
      <c r="T34" s="231"/>
      <c r="U34" s="231"/>
      <c r="V34" s="231"/>
      <c r="Y34" s="231"/>
      <c r="Z34" s="231"/>
    </row>
    <row r="35" spans="1:26" ht="22.5" customHeight="1">
      <c r="A35" s="148"/>
      <c r="B35" s="464" t="s">
        <v>265</v>
      </c>
      <c r="C35" s="465"/>
      <c r="D35" s="466"/>
      <c r="E35" s="436" t="s">
        <v>188</v>
      </c>
      <c r="F35" s="462" t="str">
        <f>参照ﾃﾞｰﾀ!AL10</f>
        <v>飛車角</v>
      </c>
      <c r="G35" s="463"/>
      <c r="H35" s="456"/>
      <c r="I35" s="457"/>
      <c r="J35" s="457"/>
      <c r="K35" s="457"/>
      <c r="L35" s="457"/>
      <c r="M35" s="457"/>
      <c r="N35" s="457"/>
      <c r="O35" s="457"/>
      <c r="P35" s="457"/>
      <c r="Q35" s="458"/>
      <c r="R35" s="408"/>
      <c r="S35" s="139"/>
      <c r="T35" s="231"/>
      <c r="U35" s="231"/>
      <c r="V35" s="231"/>
      <c r="Y35" s="231"/>
      <c r="Z35" s="231"/>
    </row>
    <row r="36" spans="1:26" ht="15" customHeight="1">
      <c r="A36" s="148"/>
      <c r="B36" s="467"/>
      <c r="C36" s="468"/>
      <c r="D36" s="469"/>
      <c r="E36" s="475"/>
      <c r="F36" s="462" t="str">
        <f>参照ﾃﾞｰﾀ!AM10</f>
        <v>ふるたか</v>
      </c>
      <c r="G36" s="463"/>
      <c r="H36" s="456"/>
      <c r="I36" s="457"/>
      <c r="J36" s="457"/>
      <c r="K36" s="457"/>
      <c r="L36" s="457"/>
      <c r="M36" s="457"/>
      <c r="N36" s="457"/>
      <c r="O36" s="457"/>
      <c r="P36" s="457"/>
      <c r="Q36" s="458"/>
      <c r="R36" s="408"/>
      <c r="S36" s="139"/>
      <c r="T36" s="231"/>
      <c r="U36" s="231"/>
      <c r="V36" s="231"/>
      <c r="Y36" s="231"/>
      <c r="Z36" s="231"/>
    </row>
    <row r="37" spans="1:26" ht="15" customHeight="1">
      <c r="A37" s="148"/>
      <c r="B37" s="467"/>
      <c r="C37" s="468"/>
      <c r="D37" s="469"/>
      <c r="E37" s="225" t="s">
        <v>187</v>
      </c>
      <c r="F37" s="476">
        <v>43695</v>
      </c>
      <c r="G37" s="452"/>
      <c r="H37" s="456"/>
      <c r="I37" s="457"/>
      <c r="J37" s="457"/>
      <c r="K37" s="457"/>
      <c r="L37" s="457"/>
      <c r="M37" s="457"/>
      <c r="N37" s="457"/>
      <c r="O37" s="457"/>
      <c r="P37" s="457"/>
      <c r="Q37" s="458"/>
      <c r="R37" s="408"/>
      <c r="S37" s="139"/>
      <c r="T37" s="231"/>
      <c r="U37" s="231"/>
      <c r="V37" s="231"/>
      <c r="Y37" s="231"/>
      <c r="Z37" s="231"/>
    </row>
    <row r="38" spans="1:26" ht="15" customHeight="1">
      <c r="A38" s="148"/>
      <c r="B38" s="467"/>
      <c r="C38" s="468"/>
      <c r="D38" s="469"/>
      <c r="E38" s="226" t="s">
        <v>200</v>
      </c>
      <c r="F38" s="462" t="s">
        <v>297</v>
      </c>
      <c r="G38" s="463"/>
      <c r="H38" s="456"/>
      <c r="I38" s="457"/>
      <c r="J38" s="457"/>
      <c r="K38" s="457"/>
      <c r="L38" s="457"/>
      <c r="M38" s="457"/>
      <c r="N38" s="457"/>
      <c r="O38" s="457"/>
      <c r="P38" s="457"/>
      <c r="Q38" s="458"/>
      <c r="R38" s="408"/>
      <c r="S38" s="139"/>
      <c r="T38" s="231"/>
      <c r="U38" s="231"/>
      <c r="V38" s="231"/>
      <c r="Y38" s="231"/>
      <c r="Z38" s="231"/>
    </row>
    <row r="39" spans="1:26" ht="15" customHeight="1">
      <c r="A39" s="148"/>
      <c r="B39" s="467"/>
      <c r="C39" s="468"/>
      <c r="D39" s="469"/>
      <c r="E39" s="436" t="s">
        <v>188</v>
      </c>
      <c r="F39" s="462" t="str">
        <f>参照ﾃﾞｰﾀ!AL11</f>
        <v>衣笠</v>
      </c>
      <c r="G39" s="463"/>
      <c r="H39" s="456"/>
      <c r="I39" s="457"/>
      <c r="J39" s="457"/>
      <c r="K39" s="457"/>
      <c r="L39" s="457"/>
      <c r="M39" s="457"/>
      <c r="N39" s="457"/>
      <c r="O39" s="457"/>
      <c r="P39" s="457"/>
      <c r="Q39" s="458"/>
      <c r="R39" s="408"/>
      <c r="S39" s="139"/>
      <c r="T39" s="231"/>
      <c r="U39" s="231"/>
      <c r="V39" s="231"/>
      <c r="Y39" s="231"/>
      <c r="Z39" s="231"/>
    </row>
    <row r="40" spans="1:26" ht="15" customHeight="1">
      <c r="A40" s="148"/>
      <c r="B40" s="467"/>
      <c r="C40" s="468"/>
      <c r="D40" s="469"/>
      <c r="E40" s="436"/>
      <c r="F40" s="462"/>
      <c r="G40" s="463"/>
      <c r="H40" s="456"/>
      <c r="I40" s="457"/>
      <c r="J40" s="457"/>
      <c r="K40" s="457"/>
      <c r="L40" s="457"/>
      <c r="M40" s="457"/>
      <c r="N40" s="457"/>
      <c r="O40" s="457"/>
      <c r="P40" s="457"/>
      <c r="Q40" s="458"/>
      <c r="R40" s="408"/>
      <c r="S40" s="139"/>
      <c r="T40" s="231"/>
      <c r="U40" s="231"/>
      <c r="V40" s="231"/>
      <c r="Y40" s="231"/>
      <c r="Z40" s="231"/>
    </row>
    <row r="41" spans="1:26" ht="11.25" customHeight="1" thickBot="1">
      <c r="A41" s="148"/>
      <c r="B41" s="470"/>
      <c r="C41" s="471"/>
      <c r="D41" s="472"/>
      <c r="E41" s="227"/>
      <c r="F41" s="473"/>
      <c r="G41" s="474"/>
      <c r="H41" s="459"/>
      <c r="I41" s="460"/>
      <c r="J41" s="460"/>
      <c r="K41" s="460"/>
      <c r="L41" s="460"/>
      <c r="M41" s="460"/>
      <c r="N41" s="460"/>
      <c r="O41" s="460"/>
      <c r="P41" s="460"/>
      <c r="Q41" s="461"/>
      <c r="R41" s="408"/>
      <c r="S41" s="139"/>
      <c r="T41" s="231"/>
      <c r="U41" s="231"/>
      <c r="V41" s="231"/>
      <c r="W41" s="231"/>
      <c r="X41" s="231"/>
      <c r="Y41" s="231"/>
      <c r="Z41" s="231"/>
    </row>
    <row r="42" spans="1:26">
      <c r="A42" s="148"/>
      <c r="B42" s="148"/>
      <c r="C42" s="148"/>
      <c r="D42" s="148"/>
      <c r="E42" s="148"/>
      <c r="F42" s="148"/>
      <c r="G42" s="148"/>
      <c r="H42" s="148"/>
      <c r="I42" s="148"/>
      <c r="J42" s="148"/>
      <c r="K42" s="148"/>
      <c r="L42" s="148"/>
      <c r="M42" s="148"/>
      <c r="N42" s="148"/>
      <c r="O42" s="148"/>
      <c r="P42" s="148"/>
      <c r="Q42" s="148"/>
      <c r="R42" s="148"/>
      <c r="S42" s="148"/>
    </row>
  </sheetData>
  <sheetProtection algorithmName="SHA-512" hashValue="PZj7Dwtgh+D7EJ4MIMNxj6gHod2PTn80V/ZBuCwehjYRF3CxuT00MdSNS9368lt73zk8y4Jauo9vY+Ym1bdH+A==" saltValue="jd+YlueSh6vby1FjjTdVEA==" spinCount="100000" sheet="1" objects="1" scenarios="1"/>
  <sortState ref="C7:K18">
    <sortCondition ref="K7:K18"/>
  </sortState>
  <mergeCells count="19">
    <mergeCell ref="F37:G37"/>
    <mergeCell ref="F38:G38"/>
    <mergeCell ref="F39:G3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s>
  <phoneticPr fontId="41"/>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topLeftCell="A38" zoomScaleNormal="100" workbookViewId="0">
      <selection activeCell="L66" sqref="L66"/>
    </sheetView>
  </sheetViews>
  <sheetFormatPr defaultRowHeight="14.25"/>
  <cols>
    <col min="1" max="1" width="2.75" customWidth="1"/>
    <col min="2" max="2" width="3.75" style="3" customWidth="1"/>
    <col min="3" max="3" width="6.125" style="3" customWidth="1"/>
    <col min="4" max="4" width="16.25" style="3" customWidth="1"/>
    <col min="5" max="6" width="7.375" style="3" bestFit="1" customWidth="1"/>
    <col min="7" max="7" width="6.75" style="3" bestFit="1" customWidth="1"/>
    <col min="8" max="8" width="7.5" style="6" customWidth="1"/>
    <col min="9" max="10" width="8.875" style="6"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ht="18.75">
      <c r="B1" s="129" t="s">
        <v>296</v>
      </c>
      <c r="C1" s="129"/>
      <c r="D1" s="129"/>
      <c r="E1" s="129"/>
      <c r="F1" s="129"/>
      <c r="G1" s="129"/>
      <c r="H1" s="129"/>
      <c r="I1" s="129"/>
      <c r="J1" s="93" t="s">
        <v>368</v>
      </c>
      <c r="L1" s="25" t="s">
        <v>73</v>
      </c>
      <c r="M1" s="24"/>
      <c r="N1" s="24"/>
      <c r="O1" s="24"/>
      <c r="P1" s="26" t="s">
        <v>58</v>
      </c>
      <c r="Q1" s="26"/>
      <c r="R1" s="26" t="s">
        <v>60</v>
      </c>
      <c r="S1" s="26"/>
      <c r="T1" s="26" t="s">
        <v>83</v>
      </c>
      <c r="U1" s="26"/>
      <c r="V1" s="26"/>
      <c r="W1" s="26" t="s">
        <v>56</v>
      </c>
      <c r="X1" s="26"/>
      <c r="Y1" s="27" t="s">
        <v>63</v>
      </c>
      <c r="Z1" s="26"/>
      <c r="AA1" s="26" t="s">
        <v>57</v>
      </c>
      <c r="AB1" s="26"/>
      <c r="AC1" s="27" t="s">
        <v>65</v>
      </c>
      <c r="AD1" s="26"/>
      <c r="AE1" s="26" t="s">
        <v>72</v>
      </c>
      <c r="AG1" s="26" t="s">
        <v>77</v>
      </c>
    </row>
    <row r="2" spans="2:43" ht="15.75" thickBot="1">
      <c r="E2" s="5" t="s">
        <v>221</v>
      </c>
      <c r="F2" s="5" t="s">
        <v>222</v>
      </c>
      <c r="G2" s="5" t="s">
        <v>223</v>
      </c>
      <c r="H2" s="5" t="s">
        <v>221</v>
      </c>
      <c r="I2" s="5" t="s">
        <v>222</v>
      </c>
      <c r="J2" s="5" t="s">
        <v>223</v>
      </c>
      <c r="L2" t="s">
        <v>291</v>
      </c>
      <c r="P2" s="41"/>
      <c r="T2" s="35" t="s">
        <v>271</v>
      </c>
      <c r="U2" s="35"/>
      <c r="AI2" t="str">
        <f>T2</f>
        <v>2019年</v>
      </c>
    </row>
    <row r="3" spans="2:43" ht="15">
      <c r="B3" s="4"/>
      <c r="C3" s="4" t="s">
        <v>23</v>
      </c>
      <c r="D3" s="4" t="s">
        <v>219</v>
      </c>
      <c r="E3" s="4" t="s">
        <v>220</v>
      </c>
      <c r="F3" s="4" t="s">
        <v>220</v>
      </c>
      <c r="G3" s="4" t="s">
        <v>220</v>
      </c>
      <c r="H3" s="5" t="s">
        <v>233</v>
      </c>
      <c r="I3" s="5" t="s">
        <v>233</v>
      </c>
      <c r="J3" s="5" t="s">
        <v>233</v>
      </c>
      <c r="L3" s="7" t="s">
        <v>52</v>
      </c>
      <c r="M3" s="39" t="s">
        <v>84</v>
      </c>
      <c r="N3" s="33" t="s">
        <v>77</v>
      </c>
      <c r="O3" s="15"/>
      <c r="P3" s="23" t="s">
        <v>59</v>
      </c>
      <c r="Q3" s="15"/>
      <c r="R3" s="14" t="s">
        <v>53</v>
      </c>
      <c r="T3" s="14" t="s">
        <v>83</v>
      </c>
      <c r="U3" s="33" t="s">
        <v>77</v>
      </c>
      <c r="W3" s="19" t="s">
        <v>61</v>
      </c>
      <c r="Y3" s="14" t="s">
        <v>63</v>
      </c>
      <c r="AA3" s="10" t="s">
        <v>55</v>
      </c>
      <c r="AC3" s="14" t="s">
        <v>66</v>
      </c>
      <c r="AE3" s="28" t="s">
        <v>72</v>
      </c>
      <c r="AG3" s="32" t="s">
        <v>13</v>
      </c>
      <c r="AI3" s="73" t="s">
        <v>140</v>
      </c>
      <c r="AJ3" s="74" t="s">
        <v>141</v>
      </c>
      <c r="AK3" s="74" t="s">
        <v>87</v>
      </c>
      <c r="AL3" s="74" t="s">
        <v>133</v>
      </c>
      <c r="AM3" s="74" t="s">
        <v>134</v>
      </c>
      <c r="AN3" s="74" t="s">
        <v>142</v>
      </c>
      <c r="AO3" s="133" t="s">
        <v>143</v>
      </c>
      <c r="AP3" s="136" t="s">
        <v>258</v>
      </c>
      <c r="AQ3" s="136" t="s">
        <v>259</v>
      </c>
    </row>
    <row r="4" spans="2:43" ht="15.75" thickBot="1">
      <c r="B4" s="4">
        <v>1</v>
      </c>
      <c r="C4" s="94">
        <v>6793</v>
      </c>
      <c r="D4" s="107" t="s">
        <v>224</v>
      </c>
      <c r="E4" s="109">
        <v>10.61</v>
      </c>
      <c r="F4" s="110">
        <v>10.61</v>
      </c>
      <c r="G4" s="111">
        <v>10.26</v>
      </c>
      <c r="H4" s="112">
        <v>887.5</v>
      </c>
      <c r="I4" s="113">
        <v>549.1</v>
      </c>
      <c r="J4" s="114">
        <v>485.5</v>
      </c>
      <c r="L4" s="8" t="s">
        <v>48</v>
      </c>
      <c r="M4" s="31">
        <v>14.2</v>
      </c>
      <c r="N4" s="9" t="s">
        <v>78</v>
      </c>
      <c r="P4" s="38" t="s">
        <v>271</v>
      </c>
      <c r="R4" s="13" t="s">
        <v>172</v>
      </c>
      <c r="T4" s="36">
        <v>43485</v>
      </c>
      <c r="U4" s="9" t="s">
        <v>78</v>
      </c>
      <c r="W4" s="20" t="s">
        <v>272</v>
      </c>
      <c r="Y4" s="11" t="s">
        <v>64</v>
      </c>
      <c r="AA4" s="40" t="s">
        <v>86</v>
      </c>
      <c r="AC4" s="13" t="s">
        <v>67</v>
      </c>
      <c r="AE4" s="29">
        <v>0.33333333333333331</v>
      </c>
      <c r="AG4" s="30" t="s">
        <v>78</v>
      </c>
      <c r="AI4" s="75" t="str">
        <f>W4</f>
        <v>＃525</v>
      </c>
      <c r="AJ4" s="70">
        <f>T4</f>
        <v>43485</v>
      </c>
      <c r="AK4" s="31" t="s">
        <v>217</v>
      </c>
      <c r="AL4" s="99" t="s">
        <v>269</v>
      </c>
      <c r="AM4" s="99" t="s">
        <v>257</v>
      </c>
      <c r="AN4" s="131"/>
      <c r="AO4" s="134">
        <v>0.41666666666666669</v>
      </c>
      <c r="AP4" s="137">
        <v>0.52083333333333337</v>
      </c>
      <c r="AQ4" s="31" t="str">
        <f>U4</f>
        <v>MAX=20</v>
      </c>
    </row>
    <row r="5" spans="2:43" ht="15.75" thickBot="1">
      <c r="B5" s="4">
        <v>2</v>
      </c>
      <c r="C5" s="94">
        <v>3663</v>
      </c>
      <c r="D5" s="108" t="s">
        <v>225</v>
      </c>
      <c r="E5" s="115">
        <v>11.32</v>
      </c>
      <c r="F5" s="116">
        <v>10.41</v>
      </c>
      <c r="G5" s="117">
        <v>10</v>
      </c>
      <c r="H5" s="118">
        <v>868.2</v>
      </c>
      <c r="I5" s="119">
        <v>552.70000000000005</v>
      </c>
      <c r="J5" s="120">
        <v>490.6</v>
      </c>
      <c r="L5" s="8" t="s">
        <v>51</v>
      </c>
      <c r="M5" s="31">
        <v>21.5</v>
      </c>
      <c r="N5" s="9" t="s">
        <v>82</v>
      </c>
      <c r="R5" s="13" t="s">
        <v>189</v>
      </c>
      <c r="T5" s="36">
        <v>43513</v>
      </c>
      <c r="U5" s="9" t="s">
        <v>260</v>
      </c>
      <c r="W5" s="20" t="s">
        <v>240</v>
      </c>
      <c r="Y5" s="11" t="s">
        <v>286</v>
      </c>
      <c r="AA5" s="12"/>
      <c r="AC5" s="13" t="s">
        <v>68</v>
      </c>
      <c r="AE5" s="29">
        <v>0.35416666666666669</v>
      </c>
      <c r="AG5" s="30" t="s">
        <v>79</v>
      </c>
      <c r="AI5" s="75" t="str">
        <f t="shared" ref="AI5:AI16" si="0">W5</f>
        <v>＃526</v>
      </c>
      <c r="AJ5" s="70">
        <f t="shared" ref="AJ5:AJ16" si="1">T5</f>
        <v>43513</v>
      </c>
      <c r="AK5" t="s">
        <v>251</v>
      </c>
      <c r="AL5" s="99" t="s">
        <v>317</v>
      </c>
      <c r="AM5" s="100"/>
      <c r="AN5" s="131"/>
      <c r="AO5" s="134">
        <v>0.4375</v>
      </c>
      <c r="AP5" s="137">
        <v>0.625</v>
      </c>
      <c r="AQ5" s="31" t="str">
        <f t="shared" ref="AQ5:AQ16" si="2">U5</f>
        <v>MAX=20</v>
      </c>
    </row>
    <row r="6" spans="2:43" ht="15.75" thickBot="1">
      <c r="B6" s="4">
        <v>3</v>
      </c>
      <c r="C6" s="95">
        <v>4010</v>
      </c>
      <c r="D6" s="108" t="s">
        <v>149</v>
      </c>
      <c r="E6" s="115">
        <v>10.47</v>
      </c>
      <c r="F6" s="116">
        <v>10.24</v>
      </c>
      <c r="G6" s="117">
        <v>10.039999999999999</v>
      </c>
      <c r="H6" s="118">
        <v>891.5</v>
      </c>
      <c r="I6" s="119">
        <v>555.9</v>
      </c>
      <c r="J6" s="120">
        <v>489.8</v>
      </c>
      <c r="L6" s="8" t="s">
        <v>49</v>
      </c>
      <c r="M6" s="31">
        <v>11.3</v>
      </c>
      <c r="N6" s="9" t="s">
        <v>79</v>
      </c>
      <c r="R6" s="13" t="s">
        <v>190</v>
      </c>
      <c r="T6" s="36">
        <v>43541</v>
      </c>
      <c r="U6" s="9" t="s">
        <v>79</v>
      </c>
      <c r="W6" s="20" t="s">
        <v>241</v>
      </c>
      <c r="Y6" s="12"/>
      <c r="AC6" s="13" t="s">
        <v>69</v>
      </c>
      <c r="AE6" s="29">
        <v>0.375</v>
      </c>
      <c r="AG6" s="30" t="s">
        <v>81</v>
      </c>
      <c r="AI6" s="75" t="str">
        <f t="shared" si="0"/>
        <v>＃527</v>
      </c>
      <c r="AJ6" s="70">
        <f t="shared" si="1"/>
        <v>43541</v>
      </c>
      <c r="AK6" s="31" t="s">
        <v>252</v>
      </c>
      <c r="AL6" s="31" t="s">
        <v>300</v>
      </c>
      <c r="AM6" s="100"/>
      <c r="AN6" s="131"/>
      <c r="AO6" s="134">
        <v>0.41666666666666669</v>
      </c>
      <c r="AP6" s="137">
        <v>0.66666666666666663</v>
      </c>
      <c r="AQ6" s="31" t="str">
        <f t="shared" si="2"/>
        <v>MAX=30</v>
      </c>
    </row>
    <row r="7" spans="2:43" ht="15.75" thickBot="1">
      <c r="B7" s="4">
        <v>4</v>
      </c>
      <c r="C7" s="96">
        <v>5752</v>
      </c>
      <c r="D7" s="108" t="s">
        <v>44</v>
      </c>
      <c r="E7" s="115">
        <v>10.43</v>
      </c>
      <c r="F7" s="116">
        <v>10.18</v>
      </c>
      <c r="G7" s="117">
        <v>9.92</v>
      </c>
      <c r="H7" s="118">
        <v>892.7</v>
      </c>
      <c r="I7" s="119">
        <v>557</v>
      </c>
      <c r="J7" s="120">
        <v>492.1</v>
      </c>
      <c r="L7" s="8" t="s">
        <v>50</v>
      </c>
      <c r="M7" s="31">
        <v>23.4</v>
      </c>
      <c r="N7" s="9" t="s">
        <v>79</v>
      </c>
      <c r="R7" s="13" t="s">
        <v>191</v>
      </c>
      <c r="T7" s="36">
        <v>43211</v>
      </c>
      <c r="U7" s="9" t="s">
        <v>78</v>
      </c>
      <c r="W7" s="20" t="s">
        <v>242</v>
      </c>
      <c r="AC7" s="21"/>
      <c r="AE7" s="29">
        <v>0.39583333333333331</v>
      </c>
      <c r="AG7" s="31"/>
      <c r="AI7" s="75" t="str">
        <f t="shared" si="0"/>
        <v>＃528</v>
      </c>
      <c r="AJ7" s="70">
        <f t="shared" si="1"/>
        <v>43211</v>
      </c>
      <c r="AK7" s="31" t="s">
        <v>287</v>
      </c>
      <c r="AL7" s="99" t="s">
        <v>301</v>
      </c>
      <c r="AM7" s="100"/>
      <c r="AN7" s="131"/>
      <c r="AO7" s="134"/>
      <c r="AP7" s="137"/>
      <c r="AQ7" s="31" t="str">
        <f t="shared" si="2"/>
        <v>MAX=20</v>
      </c>
    </row>
    <row r="8" spans="2:43" ht="15">
      <c r="B8" s="4">
        <v>5</v>
      </c>
      <c r="C8" s="94">
        <v>4600</v>
      </c>
      <c r="D8" s="108" t="s">
        <v>42</v>
      </c>
      <c r="E8" s="115">
        <v>9.86</v>
      </c>
      <c r="F8" s="116">
        <v>10.18</v>
      </c>
      <c r="G8" s="117">
        <v>10.57</v>
      </c>
      <c r="H8" s="118">
        <v>909.9</v>
      </c>
      <c r="I8" s="119">
        <v>557.1</v>
      </c>
      <c r="J8" s="120">
        <v>479.5</v>
      </c>
      <c r="L8" s="8" t="s">
        <v>238</v>
      </c>
      <c r="M8" s="130">
        <v>6</v>
      </c>
      <c r="N8" s="9" t="s">
        <v>78</v>
      </c>
      <c r="R8" s="13" t="s">
        <v>192</v>
      </c>
      <c r="T8" s="36">
        <v>43239</v>
      </c>
      <c r="U8" s="9" t="s">
        <v>80</v>
      </c>
      <c r="W8" s="20" t="s">
        <v>243</v>
      </c>
      <c r="AE8" s="29">
        <v>0.41666666666666669</v>
      </c>
      <c r="AI8" s="75" t="str">
        <f t="shared" si="0"/>
        <v>＃529</v>
      </c>
      <c r="AJ8" s="70">
        <f t="shared" si="1"/>
        <v>43239</v>
      </c>
      <c r="AK8" s="31" t="s">
        <v>253</v>
      </c>
      <c r="AL8" s="99" t="s">
        <v>302</v>
      </c>
      <c r="AM8" s="100"/>
      <c r="AN8" s="131"/>
      <c r="AO8" s="134">
        <v>0</v>
      </c>
      <c r="AP8" s="387">
        <v>0.625</v>
      </c>
      <c r="AQ8" s="31" t="str">
        <f t="shared" si="2"/>
        <v>MAX=40</v>
      </c>
    </row>
    <row r="9" spans="2:43" ht="15">
      <c r="B9" s="4">
        <v>6</v>
      </c>
      <c r="C9" s="94"/>
      <c r="D9" s="108" t="s">
        <v>226</v>
      </c>
      <c r="E9" s="115">
        <v>10.3</v>
      </c>
      <c r="F9" s="116">
        <v>10.11</v>
      </c>
      <c r="G9" s="117">
        <v>9.9</v>
      </c>
      <c r="H9" s="118">
        <v>896.5</v>
      </c>
      <c r="I9" s="119">
        <v>558.5</v>
      </c>
      <c r="J9" s="120">
        <v>492.6</v>
      </c>
      <c r="K9" s="399"/>
      <c r="L9" s="8" t="s">
        <v>236</v>
      </c>
      <c r="M9" s="31">
        <v>16.7</v>
      </c>
      <c r="N9" s="9" t="s">
        <v>79</v>
      </c>
      <c r="R9" s="13" t="s">
        <v>193</v>
      </c>
      <c r="T9" s="36">
        <v>43632</v>
      </c>
      <c r="U9" s="9" t="s">
        <v>78</v>
      </c>
      <c r="W9" s="20" t="s">
        <v>244</v>
      </c>
      <c r="AE9" s="29">
        <v>0.4375</v>
      </c>
      <c r="AI9" s="75" t="str">
        <f t="shared" si="0"/>
        <v>＃530</v>
      </c>
      <c r="AJ9" s="70">
        <f t="shared" si="1"/>
        <v>43632</v>
      </c>
      <c r="AK9" s="31" t="s">
        <v>201</v>
      </c>
      <c r="AL9" s="99" t="s">
        <v>303</v>
      </c>
      <c r="AM9" s="100"/>
      <c r="AN9" s="131"/>
      <c r="AO9" s="134">
        <v>0.4375</v>
      </c>
      <c r="AP9" s="137">
        <v>0.66666666666666663</v>
      </c>
      <c r="AQ9" s="31" t="str">
        <f t="shared" si="2"/>
        <v>MAX=20</v>
      </c>
    </row>
    <row r="10" spans="2:43" ht="15">
      <c r="B10" s="4">
        <v>7</v>
      </c>
      <c r="C10" s="94">
        <v>380</v>
      </c>
      <c r="D10" s="108" t="s">
        <v>150</v>
      </c>
      <c r="E10" s="115">
        <v>10.32</v>
      </c>
      <c r="F10" s="116">
        <v>9.86</v>
      </c>
      <c r="G10" s="117">
        <v>9.51</v>
      </c>
      <c r="H10" s="118">
        <v>896</v>
      </c>
      <c r="I10" s="119">
        <v>563.29999999999995</v>
      </c>
      <c r="J10" s="120">
        <v>500.8</v>
      </c>
      <c r="K10" s="399" t="s">
        <v>346</v>
      </c>
      <c r="L10" s="8" t="s">
        <v>237</v>
      </c>
      <c r="M10" s="31">
        <v>18.600000000000001</v>
      </c>
      <c r="N10" s="9" t="s">
        <v>78</v>
      </c>
      <c r="R10" s="13" t="s">
        <v>194</v>
      </c>
      <c r="T10" s="36">
        <v>43667</v>
      </c>
      <c r="U10" s="9" t="s">
        <v>79</v>
      </c>
      <c r="W10" s="20" t="s">
        <v>245</v>
      </c>
      <c r="AE10" s="29">
        <v>0.4513888888888889</v>
      </c>
      <c r="AI10" s="75" t="str">
        <f t="shared" si="0"/>
        <v>＃531</v>
      </c>
      <c r="AJ10" s="70">
        <f>T10</f>
        <v>43667</v>
      </c>
      <c r="AK10" s="31" t="s">
        <v>254</v>
      </c>
      <c r="AL10" s="99" t="s">
        <v>304</v>
      </c>
      <c r="AM10" s="99" t="s">
        <v>305</v>
      </c>
      <c r="AN10" s="99"/>
      <c r="AO10" s="134">
        <v>0.39583333333333331</v>
      </c>
      <c r="AP10" s="137">
        <v>0.66666666666666663</v>
      </c>
      <c r="AQ10" s="31" t="str">
        <f t="shared" si="2"/>
        <v>MAX=30</v>
      </c>
    </row>
    <row r="11" spans="2:43" ht="15">
      <c r="B11" s="4">
        <v>8</v>
      </c>
      <c r="C11" s="94">
        <v>1733</v>
      </c>
      <c r="D11" s="108" t="s">
        <v>144</v>
      </c>
      <c r="E11" s="115">
        <v>9.67</v>
      </c>
      <c r="F11" s="116">
        <v>9.57</v>
      </c>
      <c r="G11" s="117">
        <v>9.4</v>
      </c>
      <c r="H11" s="118">
        <v>915.7</v>
      </c>
      <c r="I11" s="119">
        <v>569.29999999999995</v>
      </c>
      <c r="J11" s="120">
        <v>503.2</v>
      </c>
      <c r="L11" s="18" t="s">
        <v>47</v>
      </c>
      <c r="M11" s="31">
        <v>47.4</v>
      </c>
      <c r="N11" s="9" t="s">
        <v>80</v>
      </c>
      <c r="R11" s="13" t="s">
        <v>195</v>
      </c>
      <c r="T11" s="36">
        <v>43695</v>
      </c>
      <c r="U11" s="9" t="s">
        <v>79</v>
      </c>
      <c r="W11" s="20" t="s">
        <v>246</v>
      </c>
      <c r="AE11" s="29">
        <v>0.47916666666666669</v>
      </c>
      <c r="AI11" s="75" t="str">
        <f t="shared" si="0"/>
        <v>＃532</v>
      </c>
      <c r="AJ11" s="70">
        <f t="shared" si="1"/>
        <v>43695</v>
      </c>
      <c r="AK11" s="31" t="s">
        <v>288</v>
      </c>
      <c r="AL11" s="99" t="s">
        <v>306</v>
      </c>
      <c r="AM11" s="100"/>
      <c r="AN11" s="131"/>
      <c r="AO11" s="134">
        <v>0.41666666666666669</v>
      </c>
      <c r="AP11" s="137">
        <v>0.66666666666666663</v>
      </c>
      <c r="AQ11" s="31" t="str">
        <f t="shared" si="2"/>
        <v>MAX=30</v>
      </c>
    </row>
    <row r="12" spans="2:43" ht="15">
      <c r="B12" s="4">
        <v>9</v>
      </c>
      <c r="C12" s="94">
        <v>321</v>
      </c>
      <c r="D12" s="108" t="s">
        <v>29</v>
      </c>
      <c r="E12" s="115">
        <v>10.15</v>
      </c>
      <c r="F12" s="116">
        <v>9.51</v>
      </c>
      <c r="G12" s="117">
        <v>9.44</v>
      </c>
      <c r="H12" s="118">
        <v>900.8</v>
      </c>
      <c r="I12" s="119">
        <v>570.5</v>
      </c>
      <c r="J12" s="120">
        <v>502.2</v>
      </c>
      <c r="L12" s="18" t="s">
        <v>62</v>
      </c>
      <c r="M12" s="31">
        <v>26.6</v>
      </c>
      <c r="N12" s="9"/>
      <c r="R12" s="13" t="s">
        <v>196</v>
      </c>
      <c r="T12" s="36">
        <v>43709</v>
      </c>
      <c r="U12" s="9"/>
      <c r="W12" s="20" t="s">
        <v>247</v>
      </c>
      <c r="AE12" s="29">
        <v>0</v>
      </c>
      <c r="AI12" s="75" t="str">
        <f t="shared" si="0"/>
        <v>＃533</v>
      </c>
      <c r="AJ12" s="70">
        <f t="shared" si="1"/>
        <v>43709</v>
      </c>
      <c r="AK12" s="31" t="s">
        <v>289</v>
      </c>
      <c r="AL12" s="99" t="s">
        <v>309</v>
      </c>
      <c r="AM12" s="100"/>
      <c r="AN12" s="131"/>
      <c r="AO12" s="134"/>
      <c r="AP12" s="31"/>
      <c r="AQ12" s="31">
        <f t="shared" si="2"/>
        <v>0</v>
      </c>
    </row>
    <row r="13" spans="2:43" ht="15">
      <c r="B13" s="4">
        <v>10</v>
      </c>
      <c r="C13" s="94">
        <v>2221</v>
      </c>
      <c r="D13" s="108" t="s">
        <v>36</v>
      </c>
      <c r="E13" s="115">
        <v>9.75</v>
      </c>
      <c r="F13" s="116">
        <v>9.17</v>
      </c>
      <c r="G13" s="117">
        <v>8.93</v>
      </c>
      <c r="H13" s="118">
        <v>913.4</v>
      </c>
      <c r="I13" s="119">
        <v>577.70000000000005</v>
      </c>
      <c r="J13" s="120">
        <v>514</v>
      </c>
      <c r="L13" s="8" t="s">
        <v>427</v>
      </c>
      <c r="M13" s="31">
        <v>5.3</v>
      </c>
      <c r="N13" s="9" t="s">
        <v>78</v>
      </c>
      <c r="R13" s="13" t="s">
        <v>196</v>
      </c>
      <c r="T13" s="36">
        <v>43723</v>
      </c>
      <c r="U13" s="9" t="s">
        <v>79</v>
      </c>
      <c r="W13" s="20" t="s">
        <v>248</v>
      </c>
      <c r="AE13" s="29">
        <v>0.38194444444444442</v>
      </c>
      <c r="AI13" s="75" t="str">
        <f t="shared" si="0"/>
        <v>＃534</v>
      </c>
      <c r="AJ13" s="70">
        <f t="shared" si="1"/>
        <v>43723</v>
      </c>
      <c r="AK13" s="31" t="s">
        <v>290</v>
      </c>
      <c r="AL13" s="99" t="s">
        <v>362</v>
      </c>
      <c r="AM13" s="100"/>
      <c r="AN13" s="131"/>
      <c r="AO13" s="134">
        <v>0.39583333333333331</v>
      </c>
      <c r="AP13" s="137">
        <v>0.66666666666666663</v>
      </c>
      <c r="AQ13" s="31" t="str">
        <f t="shared" si="2"/>
        <v>MAX=30</v>
      </c>
    </row>
    <row r="14" spans="2:43" ht="15">
      <c r="B14" s="4">
        <v>11</v>
      </c>
      <c r="C14" s="94">
        <v>199</v>
      </c>
      <c r="D14" s="108" t="s">
        <v>27</v>
      </c>
      <c r="E14" s="115">
        <v>8.99</v>
      </c>
      <c r="F14" s="116">
        <v>9.15</v>
      </c>
      <c r="G14" s="117">
        <v>9.1</v>
      </c>
      <c r="H14" s="118">
        <v>939</v>
      </c>
      <c r="I14" s="119">
        <v>578.20000000000005</v>
      </c>
      <c r="J14" s="120">
        <v>509.9</v>
      </c>
      <c r="L14" s="8" t="s">
        <v>85</v>
      </c>
      <c r="M14" s="31">
        <v>11.3</v>
      </c>
      <c r="N14" s="9" t="s">
        <v>79</v>
      </c>
      <c r="R14" s="13" t="s">
        <v>197</v>
      </c>
      <c r="T14" s="36">
        <v>43758</v>
      </c>
      <c r="U14" s="9" t="s">
        <v>78</v>
      </c>
      <c r="W14" s="20" t="s">
        <v>249</v>
      </c>
      <c r="AI14" s="75" t="str">
        <f t="shared" si="0"/>
        <v>＃535</v>
      </c>
      <c r="AJ14" s="70">
        <f t="shared" si="1"/>
        <v>43758</v>
      </c>
      <c r="AK14" s="31" t="s">
        <v>255</v>
      </c>
      <c r="AL14" s="99" t="s">
        <v>307</v>
      </c>
      <c r="AM14" s="100"/>
      <c r="AN14" s="131"/>
      <c r="AO14" s="134">
        <v>0.4375</v>
      </c>
      <c r="AP14" s="137">
        <v>0.66666666666666663</v>
      </c>
      <c r="AQ14" s="31" t="str">
        <f t="shared" si="2"/>
        <v>MAX=20</v>
      </c>
    </row>
    <row r="15" spans="2:43" ht="15">
      <c r="B15" s="4">
        <v>12</v>
      </c>
      <c r="C15" s="94">
        <v>6732</v>
      </c>
      <c r="D15" s="108" t="s">
        <v>40</v>
      </c>
      <c r="E15" s="115">
        <v>9.59</v>
      </c>
      <c r="F15" s="116">
        <v>9.1300000000000008</v>
      </c>
      <c r="G15" s="117">
        <v>8.76</v>
      </c>
      <c r="H15" s="118">
        <v>918.4</v>
      </c>
      <c r="I15" s="119">
        <v>578.79999999999995</v>
      </c>
      <c r="J15" s="120">
        <v>518</v>
      </c>
      <c r="L15" s="8" t="s">
        <v>292</v>
      </c>
      <c r="M15" s="31">
        <v>10</v>
      </c>
      <c r="N15" s="9" t="s">
        <v>78</v>
      </c>
      <c r="R15" s="13" t="s">
        <v>198</v>
      </c>
      <c r="T15" s="36">
        <v>43786</v>
      </c>
      <c r="U15" s="9" t="s">
        <v>79</v>
      </c>
      <c r="W15" s="20" t="s">
        <v>250</v>
      </c>
      <c r="AI15" s="75" t="str">
        <f t="shared" si="0"/>
        <v>＃536</v>
      </c>
      <c r="AJ15" s="70">
        <f t="shared" si="1"/>
        <v>43786</v>
      </c>
      <c r="AK15" s="31" t="s">
        <v>256</v>
      </c>
      <c r="AL15" s="99" t="s">
        <v>308</v>
      </c>
      <c r="AM15" s="100"/>
      <c r="AN15" s="131"/>
      <c r="AO15" s="134">
        <v>0.41666666666666669</v>
      </c>
      <c r="AP15" s="137">
        <v>0.625</v>
      </c>
      <c r="AQ15" s="31" t="str">
        <f t="shared" si="2"/>
        <v>MAX=30</v>
      </c>
    </row>
    <row r="16" spans="2:43" ht="15.75" thickBot="1">
      <c r="B16" s="4">
        <v>13</v>
      </c>
      <c r="C16" s="391">
        <v>2212</v>
      </c>
      <c r="D16" s="392" t="s">
        <v>35</v>
      </c>
      <c r="E16" s="393">
        <v>8.86</v>
      </c>
      <c r="F16" s="394">
        <v>9.09</v>
      </c>
      <c r="G16" s="395">
        <v>9.0399999999999991</v>
      </c>
      <c r="H16" s="396">
        <v>943.4</v>
      </c>
      <c r="I16" s="397">
        <v>579.70000000000005</v>
      </c>
      <c r="J16" s="398">
        <v>511.3</v>
      </c>
      <c r="K16" s="399" t="s">
        <v>413</v>
      </c>
      <c r="L16" s="8" t="s">
        <v>207</v>
      </c>
      <c r="M16" s="31">
        <v>3</v>
      </c>
      <c r="N16" s="9" t="s">
        <v>79</v>
      </c>
      <c r="R16" s="13" t="s">
        <v>199</v>
      </c>
      <c r="T16" s="36">
        <v>43814</v>
      </c>
      <c r="U16" s="9" t="s">
        <v>78</v>
      </c>
      <c r="W16" s="20" t="s">
        <v>273</v>
      </c>
      <c r="AI16" s="76" t="str">
        <f t="shared" si="0"/>
        <v>＃537</v>
      </c>
      <c r="AJ16" s="77">
        <f t="shared" si="1"/>
        <v>43814</v>
      </c>
      <c r="AK16" s="34" t="s">
        <v>201</v>
      </c>
      <c r="AL16" s="101" t="s">
        <v>316</v>
      </c>
      <c r="AM16" s="102"/>
      <c r="AN16" s="132"/>
      <c r="AO16" s="135">
        <v>0.4375</v>
      </c>
      <c r="AP16" s="137">
        <v>0.625</v>
      </c>
      <c r="AQ16" s="31" t="str">
        <f t="shared" si="2"/>
        <v>MAX=20</v>
      </c>
    </row>
    <row r="17" spans="2:41" ht="15.75" thickBot="1">
      <c r="B17" s="4">
        <v>14</v>
      </c>
      <c r="C17" s="94">
        <v>6714</v>
      </c>
      <c r="D17" s="108" t="s">
        <v>151</v>
      </c>
      <c r="E17" s="115">
        <v>8.9600000000000009</v>
      </c>
      <c r="F17" s="116">
        <v>8.94</v>
      </c>
      <c r="G17" s="117">
        <v>8.64</v>
      </c>
      <c r="H17" s="118">
        <v>939.9</v>
      </c>
      <c r="I17" s="119">
        <v>583</v>
      </c>
      <c r="J17" s="120">
        <v>520.9</v>
      </c>
      <c r="L17" s="17" t="s">
        <v>218</v>
      </c>
      <c r="M17" s="34"/>
      <c r="N17" s="16"/>
      <c r="R17" s="21"/>
      <c r="T17" s="36"/>
      <c r="U17" s="103"/>
      <c r="W17" s="20" t="s">
        <v>274</v>
      </c>
      <c r="AI17" s="69"/>
      <c r="AJ17" s="69"/>
      <c r="AK17" s="69"/>
      <c r="AL17" s="69"/>
      <c r="AM17" s="69"/>
      <c r="AN17" s="69"/>
      <c r="AO17" s="69"/>
    </row>
    <row r="18" spans="2:41" ht="15.75" thickBot="1">
      <c r="B18" s="4">
        <v>15</v>
      </c>
      <c r="C18" s="94">
        <v>120</v>
      </c>
      <c r="D18" s="108" t="s">
        <v>227</v>
      </c>
      <c r="E18" s="115">
        <v>10.73</v>
      </c>
      <c r="F18" s="116">
        <v>8.9</v>
      </c>
      <c r="G18" s="117">
        <v>8.64</v>
      </c>
      <c r="H18" s="118">
        <v>884.1</v>
      </c>
      <c r="I18" s="119">
        <v>583.79999999999995</v>
      </c>
      <c r="J18" s="120">
        <v>520.9</v>
      </c>
      <c r="T18" s="37"/>
      <c r="U18" s="103"/>
      <c r="W18" s="20" t="s">
        <v>275</v>
      </c>
      <c r="AI18" s="69"/>
      <c r="AJ18" s="71" t="s">
        <v>145</v>
      </c>
      <c r="AK18" s="69" t="s">
        <v>146</v>
      </c>
      <c r="AL18" s="69"/>
      <c r="AM18" s="69"/>
      <c r="AN18" s="69"/>
      <c r="AO18" s="69"/>
    </row>
    <row r="19" spans="2:41" ht="15">
      <c r="B19" s="4">
        <v>16</v>
      </c>
      <c r="C19" s="94">
        <v>1403</v>
      </c>
      <c r="D19" s="108" t="s">
        <v>152</v>
      </c>
      <c r="E19" s="115">
        <v>8.68</v>
      </c>
      <c r="F19" s="116">
        <v>8.8699999999999992</v>
      </c>
      <c r="G19" s="117">
        <v>8.44</v>
      </c>
      <c r="H19" s="118">
        <v>950.3</v>
      </c>
      <c r="I19" s="119">
        <v>584.70000000000005</v>
      </c>
      <c r="J19" s="120">
        <v>526</v>
      </c>
      <c r="W19" s="20" t="s">
        <v>276</v>
      </c>
    </row>
    <row r="20" spans="2:41" ht="15">
      <c r="B20" s="4">
        <v>17</v>
      </c>
      <c r="C20" s="96">
        <v>5496</v>
      </c>
      <c r="D20" s="108" t="s">
        <v>210</v>
      </c>
      <c r="E20" s="115">
        <v>9.09</v>
      </c>
      <c r="F20" s="116">
        <v>8.7799999999999994</v>
      </c>
      <c r="G20" s="117">
        <v>8.74</v>
      </c>
      <c r="H20" s="118">
        <v>935.4</v>
      </c>
      <c r="I20" s="119">
        <v>586.6</v>
      </c>
      <c r="J20" s="120">
        <v>518.5</v>
      </c>
      <c r="W20" s="20" t="s">
        <v>277</v>
      </c>
    </row>
    <row r="21" spans="2:41" ht="15">
      <c r="B21" s="4">
        <v>18</v>
      </c>
      <c r="C21" s="96">
        <v>6735</v>
      </c>
      <c r="D21" s="108" t="s">
        <v>261</v>
      </c>
      <c r="E21" s="115">
        <v>9.77</v>
      </c>
      <c r="F21" s="116">
        <v>8.77</v>
      </c>
      <c r="G21" s="117">
        <v>8.43</v>
      </c>
      <c r="H21" s="118">
        <v>912.7</v>
      </c>
      <c r="I21" s="119">
        <v>587</v>
      </c>
      <c r="J21" s="120">
        <v>526.1</v>
      </c>
      <c r="W21" s="20" t="s">
        <v>278</v>
      </c>
    </row>
    <row r="22" spans="2:41" ht="15">
      <c r="B22" s="4">
        <v>19</v>
      </c>
      <c r="C22" s="94">
        <v>150</v>
      </c>
      <c r="D22" s="108" t="s">
        <v>209</v>
      </c>
      <c r="E22" s="115">
        <v>9.06</v>
      </c>
      <c r="F22" s="116">
        <v>8.68</v>
      </c>
      <c r="G22" s="117">
        <v>8.5</v>
      </c>
      <c r="H22" s="118">
        <v>936.4</v>
      </c>
      <c r="I22" s="119">
        <v>588.9</v>
      </c>
      <c r="J22" s="120">
        <v>524.4</v>
      </c>
      <c r="W22" s="20" t="s">
        <v>279</v>
      </c>
    </row>
    <row r="23" spans="2:41" ht="15">
      <c r="B23" s="4">
        <v>20</v>
      </c>
      <c r="C23" s="94">
        <v>346</v>
      </c>
      <c r="D23" s="108" t="s">
        <v>30</v>
      </c>
      <c r="E23" s="115">
        <v>8.4</v>
      </c>
      <c r="F23" s="116">
        <v>8.58</v>
      </c>
      <c r="G23" s="117">
        <v>8.68</v>
      </c>
      <c r="H23" s="118">
        <v>960.8</v>
      </c>
      <c r="I23" s="119">
        <v>591.5</v>
      </c>
      <c r="J23" s="120">
        <v>519.79999999999995</v>
      </c>
      <c r="W23" s="20" t="s">
        <v>280</v>
      </c>
    </row>
    <row r="24" spans="2:41" ht="15">
      <c r="B24" s="4">
        <v>21</v>
      </c>
      <c r="C24" s="94">
        <v>6766</v>
      </c>
      <c r="D24" s="108" t="s">
        <v>37</v>
      </c>
      <c r="E24" s="115">
        <v>9.0500000000000007</v>
      </c>
      <c r="F24" s="116">
        <v>8.57</v>
      </c>
      <c r="G24" s="117">
        <v>8.58</v>
      </c>
      <c r="H24" s="118">
        <v>936.7</v>
      </c>
      <c r="I24" s="119">
        <v>591.79999999999995</v>
      </c>
      <c r="J24" s="120">
        <v>522.5</v>
      </c>
      <c r="W24" s="20" t="s">
        <v>281</v>
      </c>
    </row>
    <row r="25" spans="2:41" ht="15">
      <c r="B25" s="4">
        <v>22</v>
      </c>
      <c r="C25" s="94">
        <v>667</v>
      </c>
      <c r="D25" s="108" t="s">
        <v>32</v>
      </c>
      <c r="E25" s="115">
        <v>8.39</v>
      </c>
      <c r="F25" s="116">
        <v>8.56</v>
      </c>
      <c r="G25" s="117">
        <v>7.99</v>
      </c>
      <c r="H25" s="118">
        <v>961.3</v>
      </c>
      <c r="I25" s="119">
        <v>592</v>
      </c>
      <c r="J25" s="120">
        <v>537.70000000000005</v>
      </c>
      <c r="W25" s="20" t="s">
        <v>282</v>
      </c>
    </row>
    <row r="26" spans="2:41" ht="15">
      <c r="B26" s="4">
        <v>23</v>
      </c>
      <c r="C26" s="94">
        <v>3387</v>
      </c>
      <c r="D26" s="108" t="s">
        <v>153</v>
      </c>
      <c r="E26" s="115">
        <v>9.0299999999999994</v>
      </c>
      <c r="F26" s="116">
        <v>8.51</v>
      </c>
      <c r="G26" s="117">
        <v>8.2899999999999991</v>
      </c>
      <c r="H26" s="118">
        <v>937.5</v>
      </c>
      <c r="I26" s="119">
        <v>593.29999999999995</v>
      </c>
      <c r="J26" s="120">
        <v>529.79999999999995</v>
      </c>
      <c r="W26" s="20" t="s">
        <v>283</v>
      </c>
    </row>
    <row r="27" spans="2:41" ht="15">
      <c r="B27" s="4">
        <v>24</v>
      </c>
      <c r="C27" s="94">
        <v>5854</v>
      </c>
      <c r="D27" s="108" t="s">
        <v>208</v>
      </c>
      <c r="E27" s="115">
        <v>9.02</v>
      </c>
      <c r="F27" s="116">
        <v>8.5</v>
      </c>
      <c r="G27" s="117">
        <v>8.2899999999999991</v>
      </c>
      <c r="H27" s="118">
        <v>937.7</v>
      </c>
      <c r="I27" s="119">
        <v>593.4</v>
      </c>
      <c r="J27" s="120">
        <v>529.79999999999995</v>
      </c>
      <c r="W27" s="20" t="s">
        <v>284</v>
      </c>
    </row>
    <row r="28" spans="2:41" ht="15">
      <c r="B28" s="4">
        <v>25</v>
      </c>
      <c r="C28" s="94">
        <v>1545</v>
      </c>
      <c r="D28" s="108" t="s">
        <v>228</v>
      </c>
      <c r="E28" s="115">
        <v>8.9700000000000006</v>
      </c>
      <c r="F28" s="116">
        <v>8.4600000000000009</v>
      </c>
      <c r="G28" s="117">
        <v>8.1999999999999993</v>
      </c>
      <c r="H28" s="118">
        <v>939.7</v>
      </c>
      <c r="I28" s="119">
        <v>594.29999999999995</v>
      </c>
      <c r="J28" s="120">
        <v>532.1</v>
      </c>
      <c r="W28" s="20" t="s">
        <v>285</v>
      </c>
    </row>
    <row r="29" spans="2:41" ht="15">
      <c r="B29" s="4">
        <v>26</v>
      </c>
      <c r="C29" s="94">
        <v>131</v>
      </c>
      <c r="D29" s="108" t="s">
        <v>24</v>
      </c>
      <c r="E29" s="115">
        <v>8.2899999999999991</v>
      </c>
      <c r="F29" s="116">
        <v>8.31</v>
      </c>
      <c r="G29" s="117">
        <v>8.0500000000000007</v>
      </c>
      <c r="H29" s="118">
        <v>965.1</v>
      </c>
      <c r="I29" s="119">
        <v>598.20000000000005</v>
      </c>
      <c r="J29" s="120">
        <v>536.29999999999995</v>
      </c>
    </row>
    <row r="30" spans="2:41" ht="15">
      <c r="B30" s="4">
        <v>27</v>
      </c>
      <c r="C30" s="94">
        <v>5755</v>
      </c>
      <c r="D30" s="108" t="s">
        <v>211</v>
      </c>
      <c r="E30" s="115">
        <v>8.25</v>
      </c>
      <c r="F30" s="116">
        <v>8.2100000000000009</v>
      </c>
      <c r="G30" s="117">
        <v>8.1300000000000008</v>
      </c>
      <c r="H30" s="118">
        <v>966.8</v>
      </c>
      <c r="I30" s="119">
        <v>600.5</v>
      </c>
      <c r="J30" s="120">
        <v>534.1</v>
      </c>
    </row>
    <row r="31" spans="2:41" ht="15">
      <c r="B31" s="4">
        <v>28</v>
      </c>
      <c r="C31" s="94">
        <v>1611</v>
      </c>
      <c r="D31" s="108" t="s">
        <v>262</v>
      </c>
      <c r="E31" s="115">
        <v>8.0299999999999994</v>
      </c>
      <c r="F31" s="116">
        <v>8.15</v>
      </c>
      <c r="G31" s="117">
        <v>7.98</v>
      </c>
      <c r="H31" s="118">
        <v>975.7</v>
      </c>
      <c r="I31" s="119">
        <v>602.20000000000005</v>
      </c>
      <c r="J31" s="120">
        <v>538.1</v>
      </c>
    </row>
    <row r="32" spans="2:41" ht="15">
      <c r="B32" s="4">
        <v>29</v>
      </c>
      <c r="C32" s="94">
        <v>157</v>
      </c>
      <c r="D32" s="108" t="s">
        <v>229</v>
      </c>
      <c r="E32" s="115">
        <v>8.4600000000000009</v>
      </c>
      <c r="F32" s="116">
        <v>8.1199999999999992</v>
      </c>
      <c r="G32" s="117">
        <v>7.9</v>
      </c>
      <c r="H32" s="118">
        <v>958.4</v>
      </c>
      <c r="I32" s="119">
        <v>602.9</v>
      </c>
      <c r="J32" s="120">
        <v>540.29999999999995</v>
      </c>
    </row>
    <row r="33" spans="2:16" ht="15">
      <c r="B33" s="4">
        <v>30</v>
      </c>
      <c r="C33" s="94">
        <v>1555</v>
      </c>
      <c r="D33" s="108" t="s">
        <v>33</v>
      </c>
      <c r="E33" s="115">
        <v>8.0500000000000007</v>
      </c>
      <c r="F33" s="116">
        <v>8.09</v>
      </c>
      <c r="G33" s="117">
        <v>7.92</v>
      </c>
      <c r="H33" s="118">
        <v>974.6</v>
      </c>
      <c r="I33" s="119">
        <v>603.6</v>
      </c>
      <c r="J33" s="120">
        <v>539.79999999999995</v>
      </c>
    </row>
    <row r="34" spans="2:16" ht="15">
      <c r="B34" s="4">
        <v>31</v>
      </c>
      <c r="C34" s="98">
        <v>312</v>
      </c>
      <c r="D34" s="108" t="s">
        <v>28</v>
      </c>
      <c r="E34" s="115">
        <v>8.11</v>
      </c>
      <c r="F34" s="116">
        <v>8.09</v>
      </c>
      <c r="G34" s="117">
        <v>8.07</v>
      </c>
      <c r="H34" s="118">
        <v>972.4</v>
      </c>
      <c r="I34" s="119">
        <v>603.70000000000005</v>
      </c>
      <c r="J34" s="120">
        <v>535.70000000000005</v>
      </c>
    </row>
    <row r="35" spans="2:16" ht="15">
      <c r="B35" s="4">
        <v>32</v>
      </c>
      <c r="C35" s="94">
        <v>164</v>
      </c>
      <c r="D35" s="421" t="s">
        <v>25</v>
      </c>
      <c r="E35" s="121">
        <v>7.97</v>
      </c>
      <c r="F35" s="122">
        <v>8.07</v>
      </c>
      <c r="G35" s="123">
        <v>7.84</v>
      </c>
      <c r="H35" s="124">
        <v>978</v>
      </c>
      <c r="I35" s="125">
        <v>604.4</v>
      </c>
      <c r="J35" s="126">
        <v>542.20000000000005</v>
      </c>
    </row>
    <row r="36" spans="2:16" ht="15">
      <c r="B36" s="4">
        <v>33</v>
      </c>
      <c r="C36" s="94">
        <v>381</v>
      </c>
      <c r="D36" s="108" t="s">
        <v>31</v>
      </c>
      <c r="E36" s="127">
        <v>8.09</v>
      </c>
      <c r="F36" s="128">
        <v>8.0299999999999994</v>
      </c>
      <c r="G36" s="117">
        <v>8.26</v>
      </c>
      <c r="H36" s="118">
        <v>973</v>
      </c>
      <c r="I36" s="119">
        <v>605.20000000000005</v>
      </c>
      <c r="J36" s="120">
        <v>530.70000000000005</v>
      </c>
    </row>
    <row r="37" spans="2:16" ht="15">
      <c r="B37" s="4">
        <v>34</v>
      </c>
      <c r="C37" s="94">
        <v>4832</v>
      </c>
      <c r="D37" s="107" t="s">
        <v>155</v>
      </c>
      <c r="E37" s="109">
        <v>8.44</v>
      </c>
      <c r="F37" s="110">
        <v>8.02</v>
      </c>
      <c r="G37" s="111">
        <v>7.91</v>
      </c>
      <c r="H37" s="112">
        <v>959.1</v>
      </c>
      <c r="I37" s="113">
        <v>605.6</v>
      </c>
      <c r="J37" s="114">
        <v>540</v>
      </c>
    </row>
    <row r="38" spans="2:16" ht="15">
      <c r="B38" s="4">
        <v>35</v>
      </c>
      <c r="C38" s="94">
        <v>360</v>
      </c>
      <c r="D38" s="108" t="s">
        <v>154</v>
      </c>
      <c r="E38" s="115">
        <v>7.93</v>
      </c>
      <c r="F38" s="116">
        <v>8</v>
      </c>
      <c r="G38" s="117">
        <v>7.95</v>
      </c>
      <c r="H38" s="118">
        <v>979.7</v>
      </c>
      <c r="I38" s="119">
        <v>606.20000000000005</v>
      </c>
      <c r="J38" s="120">
        <v>538.79999999999995</v>
      </c>
    </row>
    <row r="39" spans="2:16" ht="15">
      <c r="B39" s="4">
        <v>36</v>
      </c>
      <c r="C39" s="94">
        <v>6858</v>
      </c>
      <c r="D39" s="108" t="s">
        <v>318</v>
      </c>
      <c r="E39" s="115">
        <v>9.41</v>
      </c>
      <c r="F39" s="116">
        <v>7.99</v>
      </c>
      <c r="G39" s="117">
        <v>8.3800000000000008</v>
      </c>
      <c r="H39" s="118">
        <v>924.6</v>
      </c>
      <c r="I39" s="119">
        <v>606.4</v>
      </c>
      <c r="J39" s="120">
        <v>527.4</v>
      </c>
    </row>
    <row r="40" spans="2:16" ht="15">
      <c r="B40" s="4">
        <v>37</v>
      </c>
      <c r="C40" s="94"/>
      <c r="D40" s="108" t="s">
        <v>156</v>
      </c>
      <c r="E40" s="115">
        <v>8.33</v>
      </c>
      <c r="F40" s="116">
        <v>7.89</v>
      </c>
      <c r="G40" s="117">
        <v>7.92</v>
      </c>
      <c r="H40" s="118">
        <v>963.7</v>
      </c>
      <c r="I40" s="119">
        <v>609</v>
      </c>
      <c r="J40" s="120">
        <v>539.9</v>
      </c>
    </row>
    <row r="41" spans="2:16" ht="15">
      <c r="B41" s="4">
        <v>38</v>
      </c>
      <c r="C41" s="96">
        <v>6696</v>
      </c>
      <c r="D41" s="108" t="s">
        <v>157</v>
      </c>
      <c r="E41" s="115">
        <v>7.81</v>
      </c>
      <c r="F41" s="116">
        <v>7.65</v>
      </c>
      <c r="G41" s="117">
        <v>7.75</v>
      </c>
      <c r="H41" s="118">
        <v>985.1</v>
      </c>
      <c r="I41" s="119">
        <v>615.79999999999995</v>
      </c>
      <c r="J41" s="120">
        <v>544.79999999999995</v>
      </c>
    </row>
    <row r="42" spans="2:16" ht="15">
      <c r="B42" s="4">
        <v>39</v>
      </c>
      <c r="C42" s="94">
        <v>1911</v>
      </c>
      <c r="D42" s="108" t="s">
        <v>158</v>
      </c>
      <c r="E42" s="115">
        <v>7.78</v>
      </c>
      <c r="F42" s="116">
        <v>7.62</v>
      </c>
      <c r="G42" s="117">
        <v>7.66</v>
      </c>
      <c r="H42" s="118">
        <v>986.3</v>
      </c>
      <c r="I42" s="119">
        <v>616.4</v>
      </c>
      <c r="J42" s="120">
        <v>547.20000000000005</v>
      </c>
    </row>
    <row r="43" spans="2:16" ht="15">
      <c r="B43" s="4">
        <v>40</v>
      </c>
      <c r="C43" s="94"/>
      <c r="D43" s="108" t="s">
        <v>159</v>
      </c>
      <c r="E43" s="115">
        <v>7.63</v>
      </c>
      <c r="F43" s="116">
        <v>7.31</v>
      </c>
      <c r="G43" s="117">
        <v>7.15</v>
      </c>
      <c r="H43" s="118">
        <v>992.6</v>
      </c>
      <c r="I43" s="119">
        <v>625.70000000000005</v>
      </c>
      <c r="J43" s="120">
        <v>562.79999999999995</v>
      </c>
    </row>
    <row r="44" spans="2:16" ht="15">
      <c r="B44" s="4">
        <v>41</v>
      </c>
      <c r="C44" s="94">
        <v>178</v>
      </c>
      <c r="D44" s="108" t="s">
        <v>26</v>
      </c>
      <c r="E44" s="115">
        <v>7.33</v>
      </c>
      <c r="F44" s="116">
        <v>7.17</v>
      </c>
      <c r="G44" s="117">
        <v>7.07</v>
      </c>
      <c r="H44" s="118">
        <v>1006.5</v>
      </c>
      <c r="I44" s="119">
        <v>629.9</v>
      </c>
      <c r="J44" s="120">
        <v>565.5</v>
      </c>
    </row>
    <row r="45" spans="2:16" ht="15">
      <c r="B45" s="4">
        <v>42</v>
      </c>
      <c r="C45" s="94">
        <v>319</v>
      </c>
      <c r="D45" s="108" t="s">
        <v>160</v>
      </c>
      <c r="E45" s="115">
        <v>7.18</v>
      </c>
      <c r="F45" s="116">
        <v>6.99</v>
      </c>
      <c r="G45" s="117">
        <v>6.88</v>
      </c>
      <c r="H45" s="118">
        <v>1013.4</v>
      </c>
      <c r="I45" s="119">
        <v>635.5</v>
      </c>
      <c r="J45" s="120">
        <v>571.9</v>
      </c>
    </row>
    <row r="46" spans="2:16" ht="15">
      <c r="B46" s="4">
        <v>43</v>
      </c>
      <c r="C46" s="94">
        <v>4323</v>
      </c>
      <c r="D46" s="108" t="s">
        <v>39</v>
      </c>
      <c r="E46" s="115">
        <v>7.23</v>
      </c>
      <c r="F46" s="116">
        <v>6.95</v>
      </c>
      <c r="G46" s="117">
        <v>7.45</v>
      </c>
      <c r="H46" s="118">
        <v>1010.8</v>
      </c>
      <c r="I46" s="119">
        <v>636.6</v>
      </c>
      <c r="J46" s="120">
        <v>553.4</v>
      </c>
      <c r="P46" t="s">
        <v>212</v>
      </c>
    </row>
    <row r="47" spans="2:16" ht="15">
      <c r="B47" s="4">
        <v>44</v>
      </c>
      <c r="C47" s="94">
        <v>1985</v>
      </c>
      <c r="D47" s="108" t="s">
        <v>34</v>
      </c>
      <c r="E47" s="115">
        <v>7.23</v>
      </c>
      <c r="F47" s="116">
        <v>6.85</v>
      </c>
      <c r="G47" s="117">
        <v>6.8</v>
      </c>
      <c r="H47" s="118">
        <v>1010.9</v>
      </c>
      <c r="I47" s="119">
        <v>639.9</v>
      </c>
      <c r="J47" s="120">
        <v>574.5</v>
      </c>
    </row>
    <row r="48" spans="2:16" ht="15">
      <c r="B48" s="4">
        <v>45</v>
      </c>
      <c r="C48" s="94">
        <v>162</v>
      </c>
      <c r="D48" s="108" t="s">
        <v>230</v>
      </c>
      <c r="E48" s="115">
        <v>6.96</v>
      </c>
      <c r="F48" s="116">
        <v>6.84</v>
      </c>
      <c r="G48" s="117">
        <v>6.95</v>
      </c>
      <c r="H48" s="118">
        <v>1024.3</v>
      </c>
      <c r="I48" s="119">
        <v>640.4</v>
      </c>
      <c r="J48" s="120">
        <v>569.4</v>
      </c>
    </row>
    <row r="49" spans="2:11" ht="15">
      <c r="B49" s="4">
        <v>46</v>
      </c>
      <c r="C49" s="94">
        <v>1101</v>
      </c>
      <c r="D49" s="108" t="s">
        <v>161</v>
      </c>
      <c r="E49" s="115">
        <v>6.88</v>
      </c>
      <c r="F49" s="116">
        <v>6.76</v>
      </c>
      <c r="G49" s="117">
        <v>6.39</v>
      </c>
      <c r="H49" s="118">
        <v>1028.2</v>
      </c>
      <c r="I49" s="119">
        <v>643.1</v>
      </c>
      <c r="J49" s="120">
        <v>589.70000000000005</v>
      </c>
    </row>
    <row r="50" spans="2:11" ht="15">
      <c r="B50" s="4">
        <v>47</v>
      </c>
      <c r="C50" s="391">
        <v>6934</v>
      </c>
      <c r="D50" s="392" t="s">
        <v>411</v>
      </c>
      <c r="E50" s="393">
        <v>7.33</v>
      </c>
      <c r="F50" s="394">
        <v>6.75</v>
      </c>
      <c r="G50" s="395">
        <v>7.08</v>
      </c>
      <c r="H50" s="396">
        <v>1006.3</v>
      </c>
      <c r="I50" s="397">
        <v>643.20000000000005</v>
      </c>
      <c r="J50" s="398">
        <v>565.4</v>
      </c>
      <c r="K50" s="399" t="s">
        <v>413</v>
      </c>
    </row>
    <row r="51" spans="2:11" ht="15">
      <c r="B51" s="4">
        <v>48</v>
      </c>
      <c r="C51" s="96"/>
      <c r="D51" s="108" t="s">
        <v>231</v>
      </c>
      <c r="E51" s="115">
        <v>6.94</v>
      </c>
      <c r="F51" s="116">
        <v>6.72</v>
      </c>
      <c r="G51" s="117">
        <v>6.49</v>
      </c>
      <c r="H51" s="118">
        <v>1025.0999999999999</v>
      </c>
      <c r="I51" s="119">
        <v>644.20000000000005</v>
      </c>
      <c r="J51" s="120">
        <v>585.79999999999995</v>
      </c>
    </row>
    <row r="52" spans="2:11" ht="15">
      <c r="B52" s="4">
        <v>49</v>
      </c>
      <c r="C52" s="94"/>
      <c r="D52" s="108" t="s">
        <v>45</v>
      </c>
      <c r="E52" s="115">
        <v>7.01</v>
      </c>
      <c r="F52" s="116">
        <v>6.7</v>
      </c>
      <c r="G52" s="117">
        <v>6.85</v>
      </c>
      <c r="H52" s="118">
        <v>1021.8</v>
      </c>
      <c r="I52" s="119">
        <v>644.79999999999995</v>
      </c>
      <c r="J52" s="120">
        <v>572.79999999999995</v>
      </c>
    </row>
    <row r="53" spans="2:11" ht="15">
      <c r="B53" s="4">
        <v>50</v>
      </c>
      <c r="C53" s="94">
        <v>2759</v>
      </c>
      <c r="D53" s="388" t="s">
        <v>38</v>
      </c>
      <c r="E53" s="115">
        <v>6.75</v>
      </c>
      <c r="F53" s="116">
        <v>6.67</v>
      </c>
      <c r="G53" s="117">
        <v>6.68</v>
      </c>
      <c r="H53" s="118">
        <v>1034.8</v>
      </c>
      <c r="I53" s="119">
        <v>646</v>
      </c>
      <c r="J53" s="120">
        <v>578.79999999999995</v>
      </c>
    </row>
    <row r="54" spans="2:11" ht="15">
      <c r="B54" s="4">
        <v>51</v>
      </c>
      <c r="C54" s="422">
        <v>4469</v>
      </c>
      <c r="D54" s="423" t="s">
        <v>41</v>
      </c>
      <c r="E54" s="115">
        <v>6.54</v>
      </c>
      <c r="F54" s="116">
        <v>6.6</v>
      </c>
      <c r="G54" s="117">
        <v>6.69</v>
      </c>
      <c r="H54" s="118">
        <v>1046.0999999999999</v>
      </c>
      <c r="I54" s="119">
        <v>648.5</v>
      </c>
      <c r="J54" s="120">
        <v>578.4</v>
      </c>
    </row>
    <row r="55" spans="2:11" ht="15">
      <c r="B55" s="4">
        <v>52</v>
      </c>
      <c r="C55" s="94">
        <v>4855</v>
      </c>
      <c r="D55" s="423" t="s">
        <v>43</v>
      </c>
      <c r="E55" s="115">
        <v>5.8</v>
      </c>
      <c r="F55" s="116">
        <v>6.06</v>
      </c>
      <c r="G55" s="117">
        <v>6.96</v>
      </c>
      <c r="H55" s="118">
        <v>1089.5</v>
      </c>
      <c r="I55" s="119">
        <v>668.1</v>
      </c>
      <c r="J55" s="120">
        <v>569.1</v>
      </c>
    </row>
    <row r="56" spans="2:11" ht="15">
      <c r="B56" s="4">
        <v>53</v>
      </c>
      <c r="C56" s="94">
        <v>5273</v>
      </c>
      <c r="D56" s="423" t="s">
        <v>319</v>
      </c>
      <c r="E56" s="115">
        <v>5.78</v>
      </c>
      <c r="F56" s="116">
        <v>5.72</v>
      </c>
      <c r="G56" s="117">
        <v>5.95</v>
      </c>
      <c r="H56" s="118">
        <v>1091</v>
      </c>
      <c r="I56" s="119">
        <v>681.6</v>
      </c>
      <c r="J56" s="120">
        <v>607.1</v>
      </c>
    </row>
    <row r="57" spans="2:11" ht="15">
      <c r="B57" s="4"/>
      <c r="C57" s="97"/>
      <c r="D57" s="389"/>
      <c r="E57" s="115"/>
      <c r="F57" s="116"/>
      <c r="G57" s="117"/>
      <c r="H57" s="118"/>
      <c r="I57" s="119"/>
      <c r="J57" s="120"/>
    </row>
    <row r="58" spans="2:11">
      <c r="B58" s="22"/>
      <c r="C58" s="22"/>
      <c r="D58" s="22"/>
      <c r="E58" s="22"/>
      <c r="F58" s="22"/>
      <c r="G58" s="78"/>
      <c r="H58" s="79"/>
      <c r="I58" s="79"/>
      <c r="J58" s="79"/>
    </row>
    <row r="59" spans="2:11">
      <c r="B59" s="22"/>
      <c r="C59" s="22"/>
      <c r="D59" s="22"/>
      <c r="E59" s="22"/>
      <c r="F59" s="22"/>
      <c r="G59" s="78"/>
      <c r="H59" s="79"/>
      <c r="I59" s="79"/>
      <c r="J59" s="79"/>
    </row>
    <row r="60" spans="2:11">
      <c r="B60" s="22"/>
      <c r="C60" s="22"/>
      <c r="D60" s="22"/>
      <c r="E60" s="22"/>
      <c r="F60" s="22"/>
      <c r="G60" s="78"/>
      <c r="H60" s="79"/>
      <c r="I60" s="79"/>
      <c r="J60" s="79"/>
    </row>
    <row r="61" spans="2:11">
      <c r="B61" s="22"/>
      <c r="C61" s="22"/>
      <c r="D61" s="22"/>
      <c r="E61" s="22"/>
      <c r="F61" s="22"/>
      <c r="G61" s="78"/>
      <c r="H61" s="79"/>
      <c r="I61" s="79"/>
      <c r="J61" s="79"/>
    </row>
    <row r="62" spans="2:11">
      <c r="B62" s="22"/>
      <c r="C62" s="22"/>
      <c r="D62" s="22"/>
      <c r="E62" s="22"/>
      <c r="F62" s="22"/>
      <c r="G62" s="78"/>
      <c r="H62" s="79"/>
      <c r="I62" s="79"/>
      <c r="J62" s="79"/>
    </row>
    <row r="66" spans="3:3">
      <c r="C66" s="3" t="s">
        <v>268</v>
      </c>
    </row>
  </sheetData>
  <sheetProtection algorithmName="SHA-512" hashValue="1GAMq6h5OaUi9bnwyPzLtvmO3sPc3UWW9ViQzLwDNOQLvk8i3A4ebW5uX9pUPPQW/1WKdjwAxHGMMubq025W8w==" saltValue="Nwawk7agERV+2kFaMhYG6g==" spinCount="100000" sheet="1" objects="1" scenarios="1"/>
  <phoneticPr fontId="4"/>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J6" sqref="J6"/>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875" style="230" customWidth="1"/>
    <col min="13" max="13" width="9.5" style="230" customWidth="1"/>
    <col min="14" max="14" width="7.875" style="230" customWidth="1"/>
    <col min="15" max="15" width="8" style="230" customWidth="1"/>
    <col min="16" max="16" width="12" style="230" bestFit="1" customWidth="1"/>
    <col min="17" max="17" width="11.625" style="230" customWidth="1"/>
    <col min="18" max="18" width="1.625" style="230" customWidth="1"/>
    <col min="19" max="19" width="4.875" style="230" customWidth="1"/>
    <col min="20" max="22" width="7.625" style="230" customWidth="1"/>
    <col min="23" max="23" width="8.25" style="230" customWidth="1"/>
    <col min="24" max="25" width="7.625" style="230" customWidth="1"/>
    <col min="26" max="26" width="4.5" style="230" customWidth="1"/>
    <col min="27" max="29" width="8" style="230" customWidth="1"/>
    <col min="30" max="16384" width="9" style="230"/>
  </cols>
  <sheetData>
    <row r="1" spans="1:29" ht="9.75" customHeight="1" thickBot="1">
      <c r="A1" s="148"/>
      <c r="B1" s="148"/>
      <c r="C1" s="148"/>
      <c r="D1" s="148"/>
      <c r="E1" s="148"/>
      <c r="F1" s="148"/>
      <c r="G1" s="148"/>
      <c r="H1" s="148"/>
      <c r="I1" s="148"/>
      <c r="J1" s="148"/>
      <c r="K1" s="148"/>
      <c r="L1" s="148"/>
      <c r="M1" s="148"/>
      <c r="N1" s="148"/>
      <c r="O1" s="148"/>
      <c r="P1" s="148"/>
      <c r="Q1" s="148"/>
      <c r="R1" s="148"/>
      <c r="S1" s="148"/>
    </row>
    <row r="2" spans="1:29" ht="21">
      <c r="A2" s="148"/>
      <c r="B2" s="139"/>
      <c r="C2" s="140"/>
      <c r="D2" s="437" t="str">
        <f>参照ﾃﾞｰﾀ!P4</f>
        <v>2019年</v>
      </c>
      <c r="E2" s="437"/>
      <c r="F2" s="437"/>
      <c r="G2" s="141" t="s">
        <v>195</v>
      </c>
      <c r="H2" s="142"/>
      <c r="I2" s="143"/>
      <c r="J2" s="139"/>
      <c r="K2" s="144"/>
      <c r="L2" s="139"/>
      <c r="M2" s="145" t="s">
        <v>52</v>
      </c>
      <c r="N2" s="146" t="s">
        <v>74</v>
      </c>
      <c r="O2" s="147" t="s">
        <v>54</v>
      </c>
      <c r="P2" s="280">
        <v>43695</v>
      </c>
      <c r="Q2" s="281">
        <v>0.41666666666666669</v>
      </c>
      <c r="R2" s="404"/>
      <c r="S2" s="139"/>
      <c r="T2" s="232" t="s">
        <v>2</v>
      </c>
      <c r="U2" s="231"/>
      <c r="V2" s="231"/>
      <c r="W2" s="231"/>
      <c r="X2" s="231"/>
      <c r="Y2" s="231"/>
      <c r="Z2" s="231"/>
    </row>
    <row r="3" spans="1:29" ht="21.75" customHeight="1" thickBot="1">
      <c r="A3" s="148"/>
      <c r="B3" s="139"/>
      <c r="C3" s="148"/>
      <c r="D3" s="400" t="s">
        <v>246</v>
      </c>
      <c r="E3" s="438" t="s">
        <v>64</v>
      </c>
      <c r="F3" s="438"/>
      <c r="G3" s="438"/>
      <c r="H3" s="438"/>
      <c r="I3" s="438"/>
      <c r="J3" s="439" t="s">
        <v>86</v>
      </c>
      <c r="K3" s="439"/>
      <c r="L3" s="139"/>
      <c r="M3" s="150" t="s">
        <v>75</v>
      </c>
      <c r="N3" s="151">
        <f>IF(ISBLANK(N2),"",VLOOKUP(N2,コース・距離,2,FALSE))</f>
        <v>11.3</v>
      </c>
      <c r="O3" s="152" t="s">
        <v>0</v>
      </c>
      <c r="P3" s="153">
        <v>13</v>
      </c>
      <c r="Q3" s="154" t="s">
        <v>1</v>
      </c>
      <c r="R3" s="405"/>
      <c r="S3" s="139"/>
      <c r="T3" s="231" t="s">
        <v>234</v>
      </c>
      <c r="U3" s="231"/>
      <c r="V3" s="231"/>
      <c r="W3" s="232" t="s">
        <v>2</v>
      </c>
      <c r="X3" s="231"/>
      <c r="Y3" s="231"/>
      <c r="Z3" s="231"/>
      <c r="AA3" s="233" t="s">
        <v>76</v>
      </c>
    </row>
    <row r="4" spans="1:29" ht="7.5" customHeight="1" thickBot="1">
      <c r="A4" s="148"/>
      <c r="B4" s="139"/>
      <c r="C4" s="139"/>
      <c r="D4" s="139"/>
      <c r="E4" s="139"/>
      <c r="F4" s="139"/>
      <c r="G4" s="139"/>
      <c r="H4" s="139"/>
      <c r="I4" s="139"/>
      <c r="J4" s="139"/>
      <c r="K4" s="139"/>
      <c r="L4" s="139"/>
      <c r="M4" s="139"/>
      <c r="N4" s="139"/>
      <c r="O4" s="139"/>
      <c r="P4" s="139"/>
      <c r="Q4" s="139"/>
      <c r="R4" s="139"/>
      <c r="S4" s="139"/>
      <c r="T4" s="231"/>
      <c r="U4" s="231"/>
      <c r="V4" s="231"/>
      <c r="W4" s="234"/>
      <c r="X4" s="231"/>
      <c r="Y4" s="231"/>
      <c r="Z4" s="231"/>
    </row>
    <row r="5" spans="1:29"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406"/>
      <c r="S5" s="228"/>
      <c r="T5" s="237" t="s">
        <v>10</v>
      </c>
      <c r="U5" s="235" t="s">
        <v>10</v>
      </c>
      <c r="V5" s="238" t="s">
        <v>10</v>
      </c>
      <c r="W5" s="237" t="s">
        <v>10</v>
      </c>
      <c r="X5" s="235" t="s">
        <v>10</v>
      </c>
      <c r="Y5" s="238" t="s">
        <v>10</v>
      </c>
      <c r="Z5" s="236"/>
      <c r="AA5" s="237" t="s">
        <v>13</v>
      </c>
      <c r="AB5" s="235" t="s">
        <v>13</v>
      </c>
      <c r="AC5" s="238" t="s">
        <v>13</v>
      </c>
    </row>
    <row r="6" spans="1:29" ht="14.25">
      <c r="A6" s="148"/>
      <c r="B6" s="158"/>
      <c r="C6" s="159" t="s">
        <v>14</v>
      </c>
      <c r="D6" s="160"/>
      <c r="E6" s="161" t="s">
        <v>15</v>
      </c>
      <c r="F6" s="161"/>
      <c r="G6" s="159" t="s">
        <v>16</v>
      </c>
      <c r="H6" s="161" t="s">
        <v>17</v>
      </c>
      <c r="I6" s="159" t="s">
        <v>336</v>
      </c>
      <c r="J6" s="161" t="s">
        <v>18</v>
      </c>
      <c r="K6" s="161" t="s">
        <v>17</v>
      </c>
      <c r="L6" s="159" t="s">
        <v>16</v>
      </c>
      <c r="M6" s="161" t="s">
        <v>46</v>
      </c>
      <c r="N6" s="161" t="s">
        <v>19</v>
      </c>
      <c r="O6" s="162" t="str">
        <f>"MAX=30"</f>
        <v>MAX=30</v>
      </c>
      <c r="P6" s="163"/>
      <c r="Q6" s="164"/>
      <c r="R6" s="407"/>
      <c r="S6" s="229"/>
      <c r="T6" s="241" t="s">
        <v>20</v>
      </c>
      <c r="U6" s="239" t="s">
        <v>22</v>
      </c>
      <c r="V6" s="242" t="s">
        <v>21</v>
      </c>
      <c r="W6" s="241" t="s">
        <v>20</v>
      </c>
      <c r="X6" s="239" t="s">
        <v>22</v>
      </c>
      <c r="Y6" s="242" t="s">
        <v>21</v>
      </c>
      <c r="Z6" s="240"/>
      <c r="AA6" s="241" t="s">
        <v>78</v>
      </c>
      <c r="AB6" s="239" t="s">
        <v>79</v>
      </c>
      <c r="AC6" s="242" t="s">
        <v>80</v>
      </c>
    </row>
    <row r="7" spans="1:29" ht="14.25">
      <c r="A7" s="148"/>
      <c r="B7" s="165">
        <v>1</v>
      </c>
      <c r="C7" s="166">
        <v>150</v>
      </c>
      <c r="D7" s="167" t="str">
        <f t="shared" ref="D7:D19" si="0">IF(ISBLANK(C7),"",VLOOKUP(C7,各艇データ,2,FALSE))</f>
        <v>SHARK X</v>
      </c>
      <c r="E7" s="265">
        <f t="shared" ref="E7:E19" si="1">IF($I$6="Ⅰ",T7,IF($I$6="Ⅱ",U7,IF($I$6="Ⅲ",V7,"")))</f>
        <v>9.06</v>
      </c>
      <c r="F7" s="168">
        <v>2</v>
      </c>
      <c r="G7" s="169">
        <v>0.54244212962962968</v>
      </c>
      <c r="H7" s="166">
        <f t="shared" ref="H7:H19" si="2">IFERROR(IF(G7-$Q$2&lt;=0,"",(G7-$Q$2)*86400),"")</f>
        <v>10867.000000000002</v>
      </c>
      <c r="I7" s="170">
        <f t="shared" ref="I7:I19" si="3">IF($I$6="Ⅰ",W7,IF($I$6="Ⅱ",X7,IF($I$6="Ⅲ",Y7,"")))</f>
        <v>936.4</v>
      </c>
      <c r="J7" s="168"/>
      <c r="K7" s="171">
        <f t="shared" ref="K7:K19" si="4">IFERROR(H7*(1+0.01*J7)-I7*$N$3,"")</f>
        <v>285.68000000000211</v>
      </c>
      <c r="L7" s="169">
        <f t="shared" ref="L7:L18" si="5">IFERROR((K7-$K$7)/86400,"")</f>
        <v>0</v>
      </c>
      <c r="M7" s="172">
        <f t="shared" ref="M7:M18" si="6">IFERROR((K7-$K$7)/$N$3,"")</f>
        <v>0</v>
      </c>
      <c r="N7" s="173">
        <f t="shared" ref="N7:N18" si="7">IFERROR($N$3/(H7/3600),"")</f>
        <v>3.7434434526548257</v>
      </c>
      <c r="O7" s="174">
        <f>ROUND(IF($O$6="MAX=20",AA7,IF($O$6="MAX=30",AB7,IF($O$6="MAX=40",AC7,""))),1)</f>
        <v>30</v>
      </c>
      <c r="P7" s="270"/>
      <c r="Q7" s="175"/>
      <c r="R7" s="407"/>
      <c r="S7" s="228"/>
      <c r="T7" s="244">
        <f t="shared" ref="T7:T31" si="8">IF(ISBLANK(C7),"",VLOOKUP(C7,各艇データ,3,FALSE))</f>
        <v>9.06</v>
      </c>
      <c r="U7" s="245">
        <f t="shared" ref="U7:U31" si="9">IF(ISBLANK(C7),"",VLOOKUP(C7,各艇データ,4,FALSE))</f>
        <v>8.68</v>
      </c>
      <c r="V7" s="246">
        <f t="shared" ref="V7:V31" si="10">IF(ISBLANK(C7),"",VLOOKUP(C7,各艇データ,5,FALSE))</f>
        <v>8.5</v>
      </c>
      <c r="W7" s="247">
        <f t="shared" ref="W7:W31" si="11">IF(ISBLANK(C7),"",VLOOKUP(C7,各艇データ,6,FALSE))</f>
        <v>936.4</v>
      </c>
      <c r="X7" s="248">
        <f t="shared" ref="X7:X31" si="12">IF(ISBLANK(C7),"",VLOOKUP(C7,各艇データ,7,FALSE))</f>
        <v>588.9</v>
      </c>
      <c r="Y7" s="249">
        <f t="shared" ref="Y7:Y31" si="13">IF(ISBLANK(C7),"",VLOOKUP(C7,各艇データ,8,FALSE))</f>
        <v>524.4</v>
      </c>
      <c r="Z7" s="236"/>
      <c r="AA7" s="250">
        <f>IF(ISBLANK(B7),"",IFERROR(20*($P$3+1-$B7)/$P$3,"20.0"))</f>
        <v>20</v>
      </c>
      <c r="AB7" s="243">
        <f>IF(ISBLANK(B7),"",IFERROR(30*($P$3+1-$B7)/$P$3,"30.0"))</f>
        <v>30</v>
      </c>
      <c r="AC7" s="251">
        <f>IF(ISBLANK(B7),"",IFERROR(30*($P$3-$B7)/($P$3-1)+10,"20.0"))</f>
        <v>40</v>
      </c>
    </row>
    <row r="8" spans="1:29" ht="14.25">
      <c r="A8" s="148"/>
      <c r="B8" s="176">
        <v>2</v>
      </c>
      <c r="C8" s="177">
        <v>5752</v>
      </c>
      <c r="D8" s="178" t="str">
        <f t="shared" si="0"/>
        <v>アルファ</v>
      </c>
      <c r="E8" s="266">
        <f t="shared" si="1"/>
        <v>10.43</v>
      </c>
      <c r="F8" s="179">
        <v>1</v>
      </c>
      <c r="G8" s="180">
        <v>0.53978009259259252</v>
      </c>
      <c r="H8" s="177">
        <f t="shared" si="2"/>
        <v>10636.999999999993</v>
      </c>
      <c r="I8" s="181">
        <f t="shared" si="3"/>
        <v>892.7</v>
      </c>
      <c r="J8" s="179"/>
      <c r="K8" s="182">
        <f t="shared" si="4"/>
        <v>549.48999999999069</v>
      </c>
      <c r="L8" s="180">
        <f t="shared" si="5"/>
        <v>3.0533564814813493E-3</v>
      </c>
      <c r="M8" s="183">
        <f t="shared" si="6"/>
        <v>23.346017699114032</v>
      </c>
      <c r="N8" s="184">
        <f t="shared" si="7"/>
        <v>3.8243865751621731</v>
      </c>
      <c r="O8" s="185">
        <f t="shared" ref="O8:O18" si="14">ROUND(IF($O$6="MAX=20",AA8,IF($O$6="MAX=30",AB8,IF($O$6="MAX=40",AC8,""))),1)</f>
        <v>27.7</v>
      </c>
      <c r="P8" s="186"/>
      <c r="Q8" s="187"/>
      <c r="R8" s="407"/>
      <c r="S8" s="228"/>
      <c r="T8" s="244">
        <f t="shared" si="8"/>
        <v>10.43</v>
      </c>
      <c r="U8" s="245">
        <f t="shared" si="9"/>
        <v>10.18</v>
      </c>
      <c r="V8" s="246">
        <f t="shared" si="10"/>
        <v>9.92</v>
      </c>
      <c r="W8" s="247">
        <f t="shared" si="11"/>
        <v>892.7</v>
      </c>
      <c r="X8" s="248">
        <f t="shared" si="12"/>
        <v>557</v>
      </c>
      <c r="Y8" s="249">
        <f t="shared" si="13"/>
        <v>492.1</v>
      </c>
      <c r="Z8" s="236"/>
      <c r="AA8" s="250">
        <f t="shared" ref="AA8:AA31" si="15">IF(ISBLANK(B8),"",IFERROR(20*($P$3+1-$B8)/$P$3,"20.0"))</f>
        <v>18.46153846153846</v>
      </c>
      <c r="AB8" s="243">
        <f t="shared" ref="AB8:AB31" si="16">IF(ISBLANK(B8),"",IFERROR(30*($P$3+1-$B8)/$P$3,"30.0"))</f>
        <v>27.692307692307693</v>
      </c>
      <c r="AC8" s="251">
        <f t="shared" ref="AC8:AC31" si="17">IF(ISBLANK(B8),"",IFERROR(30*($P$3-$B8)/($P$3-1)+10,"20.0"))</f>
        <v>37.5</v>
      </c>
    </row>
    <row r="9" spans="1:29" ht="14.25">
      <c r="A9" s="148"/>
      <c r="B9" s="176">
        <v>3</v>
      </c>
      <c r="C9" s="177">
        <v>6793</v>
      </c>
      <c r="D9" s="178" t="str">
        <f t="shared" si="0"/>
        <v>Miss Nippon Ⅷ</v>
      </c>
      <c r="E9" s="266">
        <f t="shared" si="1"/>
        <v>10.61</v>
      </c>
      <c r="F9" s="179">
        <v>3</v>
      </c>
      <c r="G9" s="180">
        <v>0.54407407407407404</v>
      </c>
      <c r="H9" s="177">
        <f t="shared" si="2"/>
        <v>11007.999999999996</v>
      </c>
      <c r="I9" s="181">
        <f t="shared" si="3"/>
        <v>887.5</v>
      </c>
      <c r="J9" s="179"/>
      <c r="K9" s="182">
        <f t="shared" si="4"/>
        <v>979.24999999999636</v>
      </c>
      <c r="L9" s="180">
        <f t="shared" si="5"/>
        <v>8.0274305555554891E-3</v>
      </c>
      <c r="M9" s="183">
        <f t="shared" si="6"/>
        <v>61.377876106194179</v>
      </c>
      <c r="N9" s="184">
        <f t="shared" si="7"/>
        <v>3.6954941860465134</v>
      </c>
      <c r="O9" s="185">
        <f t="shared" si="14"/>
        <v>25.4</v>
      </c>
      <c r="P9" s="186"/>
      <c r="Q9" s="187"/>
      <c r="R9" s="407"/>
      <c r="S9" s="228"/>
      <c r="T9" s="244">
        <f t="shared" si="8"/>
        <v>10.61</v>
      </c>
      <c r="U9" s="245">
        <f t="shared" si="9"/>
        <v>10.61</v>
      </c>
      <c r="V9" s="246">
        <f t="shared" si="10"/>
        <v>10.26</v>
      </c>
      <c r="W9" s="247">
        <f t="shared" si="11"/>
        <v>887.5</v>
      </c>
      <c r="X9" s="248">
        <f t="shared" si="12"/>
        <v>549.1</v>
      </c>
      <c r="Y9" s="249">
        <f t="shared" si="13"/>
        <v>485.5</v>
      </c>
      <c r="Z9" s="236"/>
      <c r="AA9" s="250">
        <f t="shared" si="15"/>
        <v>16.923076923076923</v>
      </c>
      <c r="AB9" s="243">
        <f t="shared" si="16"/>
        <v>25.384615384615383</v>
      </c>
      <c r="AC9" s="251">
        <f t="shared" si="17"/>
        <v>35</v>
      </c>
    </row>
    <row r="10" spans="1:29" ht="14.25">
      <c r="A10" s="148"/>
      <c r="B10" s="176">
        <v>4</v>
      </c>
      <c r="C10" s="177">
        <v>312</v>
      </c>
      <c r="D10" s="178" t="str">
        <f t="shared" si="0"/>
        <v>はやとり</v>
      </c>
      <c r="E10" s="266">
        <f t="shared" si="1"/>
        <v>8.11</v>
      </c>
      <c r="F10" s="179">
        <v>6</v>
      </c>
      <c r="G10" s="180">
        <v>0.55556712962962962</v>
      </c>
      <c r="H10" s="177">
        <f t="shared" si="2"/>
        <v>12000.999999999998</v>
      </c>
      <c r="I10" s="181">
        <f t="shared" si="3"/>
        <v>972.4</v>
      </c>
      <c r="J10" s="179"/>
      <c r="K10" s="182">
        <f t="shared" si="4"/>
        <v>1012.8799999999974</v>
      </c>
      <c r="L10" s="180">
        <f t="shared" si="5"/>
        <v>8.4166666666666123E-3</v>
      </c>
      <c r="M10" s="183">
        <f t="shared" si="6"/>
        <v>64.353982300884539</v>
      </c>
      <c r="N10" s="184">
        <f t="shared" si="7"/>
        <v>3.3897175235397059</v>
      </c>
      <c r="O10" s="185">
        <f t="shared" si="14"/>
        <v>23.1</v>
      </c>
      <c r="P10" s="258"/>
      <c r="Q10" s="187"/>
      <c r="R10" s="407"/>
      <c r="S10" s="228"/>
      <c r="T10" s="244">
        <f t="shared" si="8"/>
        <v>8.11</v>
      </c>
      <c r="U10" s="245">
        <f t="shared" si="9"/>
        <v>8.09</v>
      </c>
      <c r="V10" s="246">
        <f t="shared" si="10"/>
        <v>8.07</v>
      </c>
      <c r="W10" s="247">
        <f t="shared" si="11"/>
        <v>972.4</v>
      </c>
      <c r="X10" s="248">
        <f t="shared" si="12"/>
        <v>603.70000000000005</v>
      </c>
      <c r="Y10" s="249">
        <f t="shared" si="13"/>
        <v>535.70000000000005</v>
      </c>
      <c r="Z10" s="236"/>
      <c r="AA10" s="250">
        <f t="shared" si="15"/>
        <v>15.384615384615385</v>
      </c>
      <c r="AB10" s="243">
        <f t="shared" si="16"/>
        <v>23.076923076923077</v>
      </c>
      <c r="AC10" s="251">
        <f t="shared" si="17"/>
        <v>32.5</v>
      </c>
    </row>
    <row r="11" spans="1:29" ht="14.25">
      <c r="A11" s="148"/>
      <c r="B11" s="188">
        <v>5</v>
      </c>
      <c r="C11" s="189">
        <v>380</v>
      </c>
      <c r="D11" s="190" t="str">
        <f t="shared" si="0"/>
        <v>テティス</v>
      </c>
      <c r="E11" s="267">
        <f t="shared" si="1"/>
        <v>10.32</v>
      </c>
      <c r="F11" s="191">
        <v>4</v>
      </c>
      <c r="G11" s="192">
        <v>0.5461111111111111</v>
      </c>
      <c r="H11" s="193">
        <f t="shared" si="2"/>
        <v>11183.999999999998</v>
      </c>
      <c r="I11" s="194">
        <f t="shared" si="3"/>
        <v>896</v>
      </c>
      <c r="J11" s="195"/>
      <c r="K11" s="196">
        <f t="shared" si="4"/>
        <v>1059.1999999999971</v>
      </c>
      <c r="L11" s="197">
        <f t="shared" si="5"/>
        <v>8.9527777777777193E-3</v>
      </c>
      <c r="M11" s="198">
        <f t="shared" si="6"/>
        <v>68.453097345132292</v>
      </c>
      <c r="N11" s="199">
        <f t="shared" si="7"/>
        <v>3.6373390557939924</v>
      </c>
      <c r="O11" s="200">
        <f t="shared" si="14"/>
        <v>20.8</v>
      </c>
      <c r="P11" s="201"/>
      <c r="Q11" s="202"/>
      <c r="R11" s="407"/>
      <c r="S11" s="228"/>
      <c r="T11" s="244">
        <f t="shared" si="8"/>
        <v>10.32</v>
      </c>
      <c r="U11" s="245">
        <f t="shared" si="9"/>
        <v>9.86</v>
      </c>
      <c r="V11" s="246">
        <f t="shared" si="10"/>
        <v>9.51</v>
      </c>
      <c r="W11" s="247">
        <f t="shared" si="11"/>
        <v>896</v>
      </c>
      <c r="X11" s="248">
        <f t="shared" si="12"/>
        <v>563.29999999999995</v>
      </c>
      <c r="Y11" s="249">
        <f t="shared" si="13"/>
        <v>500.8</v>
      </c>
      <c r="Z11" s="236"/>
      <c r="AA11" s="250">
        <f t="shared" si="15"/>
        <v>13.846153846153847</v>
      </c>
      <c r="AB11" s="243">
        <f t="shared" si="16"/>
        <v>20.76923076923077</v>
      </c>
      <c r="AC11" s="251">
        <f t="shared" si="17"/>
        <v>30</v>
      </c>
    </row>
    <row r="12" spans="1:29" ht="14.25">
      <c r="A12" s="148"/>
      <c r="B12" s="165">
        <v>6</v>
      </c>
      <c r="C12" s="166">
        <v>321</v>
      </c>
      <c r="D12" s="167" t="str">
        <f t="shared" si="0"/>
        <v>かまくら</v>
      </c>
      <c r="E12" s="265">
        <f t="shared" si="1"/>
        <v>10.15</v>
      </c>
      <c r="F12" s="168">
        <v>5</v>
      </c>
      <c r="G12" s="169">
        <v>0.54907407407407405</v>
      </c>
      <c r="H12" s="166">
        <f t="shared" si="2"/>
        <v>11439.999999999996</v>
      </c>
      <c r="I12" s="170">
        <f t="shared" si="3"/>
        <v>900.8</v>
      </c>
      <c r="J12" s="168"/>
      <c r="K12" s="171">
        <f t="shared" si="4"/>
        <v>1260.9599999999955</v>
      </c>
      <c r="L12" s="169">
        <f t="shared" si="5"/>
        <v>1.1287962962962887E-2</v>
      </c>
      <c r="M12" s="172">
        <f t="shared" si="6"/>
        <v>86.307964601769314</v>
      </c>
      <c r="N12" s="173">
        <f t="shared" si="7"/>
        <v>3.5559440559440572</v>
      </c>
      <c r="O12" s="174">
        <f t="shared" si="14"/>
        <v>18.5</v>
      </c>
      <c r="P12" s="148"/>
      <c r="Q12" s="175"/>
      <c r="R12" s="407"/>
      <c r="S12" s="228"/>
      <c r="T12" s="244">
        <f t="shared" si="8"/>
        <v>10.15</v>
      </c>
      <c r="U12" s="245">
        <f t="shared" si="9"/>
        <v>9.51</v>
      </c>
      <c r="V12" s="246">
        <f t="shared" si="10"/>
        <v>9.44</v>
      </c>
      <c r="W12" s="247">
        <f t="shared" si="11"/>
        <v>900.8</v>
      </c>
      <c r="X12" s="248">
        <f t="shared" si="12"/>
        <v>570.5</v>
      </c>
      <c r="Y12" s="249">
        <f t="shared" si="13"/>
        <v>502.2</v>
      </c>
      <c r="Z12" s="236"/>
      <c r="AA12" s="250">
        <f t="shared" si="15"/>
        <v>12.307692307692308</v>
      </c>
      <c r="AB12" s="243">
        <f t="shared" si="16"/>
        <v>18.46153846153846</v>
      </c>
      <c r="AC12" s="251">
        <f t="shared" si="17"/>
        <v>27.5</v>
      </c>
    </row>
    <row r="13" spans="1:29" ht="14.25">
      <c r="A13" s="148"/>
      <c r="B13" s="176">
        <v>7</v>
      </c>
      <c r="C13" s="177">
        <v>1611</v>
      </c>
      <c r="D13" s="178" t="str">
        <f t="shared" si="0"/>
        <v>ﾈﾌﾟﾁｭｰﾝXⅡ</v>
      </c>
      <c r="E13" s="266">
        <f t="shared" si="1"/>
        <v>8.0299999999999994</v>
      </c>
      <c r="F13" s="179">
        <v>9</v>
      </c>
      <c r="G13" s="180">
        <v>0.56011574074074078</v>
      </c>
      <c r="H13" s="177">
        <f t="shared" si="2"/>
        <v>12394.000000000002</v>
      </c>
      <c r="I13" s="181">
        <f t="shared" si="3"/>
        <v>975.7</v>
      </c>
      <c r="J13" s="179"/>
      <c r="K13" s="182">
        <f t="shared" si="4"/>
        <v>1368.5900000000001</v>
      </c>
      <c r="L13" s="180">
        <f t="shared" si="5"/>
        <v>1.2533680555555532E-2</v>
      </c>
      <c r="M13" s="183">
        <f t="shared" si="6"/>
        <v>95.832743362831678</v>
      </c>
      <c r="N13" s="184">
        <f t="shared" si="7"/>
        <v>3.2822333387122802</v>
      </c>
      <c r="O13" s="185">
        <f t="shared" si="14"/>
        <v>16.2</v>
      </c>
      <c r="P13" s="219"/>
      <c r="Q13" s="187"/>
      <c r="R13" s="407"/>
      <c r="S13" s="228"/>
      <c r="T13" s="244">
        <f t="shared" si="8"/>
        <v>8.0299999999999994</v>
      </c>
      <c r="U13" s="245">
        <f t="shared" si="9"/>
        <v>8.15</v>
      </c>
      <c r="V13" s="246">
        <f t="shared" si="10"/>
        <v>7.98</v>
      </c>
      <c r="W13" s="247">
        <f t="shared" si="11"/>
        <v>975.7</v>
      </c>
      <c r="X13" s="248">
        <f t="shared" si="12"/>
        <v>602.20000000000005</v>
      </c>
      <c r="Y13" s="249">
        <f t="shared" si="13"/>
        <v>538.1</v>
      </c>
      <c r="Z13" s="236"/>
      <c r="AA13" s="250">
        <f t="shared" si="15"/>
        <v>10.76923076923077</v>
      </c>
      <c r="AB13" s="243">
        <f t="shared" si="16"/>
        <v>16.153846153846153</v>
      </c>
      <c r="AC13" s="251">
        <f t="shared" si="17"/>
        <v>25</v>
      </c>
    </row>
    <row r="14" spans="1:29" ht="14.25">
      <c r="A14" s="148"/>
      <c r="B14" s="176">
        <v>8</v>
      </c>
      <c r="C14" s="177">
        <v>1733</v>
      </c>
      <c r="D14" s="178" t="str">
        <f t="shared" si="0"/>
        <v>ケロニア</v>
      </c>
      <c r="E14" s="266">
        <f t="shared" si="1"/>
        <v>9.67</v>
      </c>
      <c r="F14" s="179">
        <v>7</v>
      </c>
      <c r="G14" s="180">
        <v>0.55706018518518519</v>
      </c>
      <c r="H14" s="177">
        <f t="shared" si="2"/>
        <v>12129.999999999998</v>
      </c>
      <c r="I14" s="181">
        <f t="shared" si="3"/>
        <v>915.7</v>
      </c>
      <c r="J14" s="179"/>
      <c r="K14" s="182">
        <f t="shared" si="4"/>
        <v>1782.5899999999965</v>
      </c>
      <c r="L14" s="180">
        <f t="shared" si="5"/>
        <v>1.7325347222222159E-2</v>
      </c>
      <c r="M14" s="183">
        <f t="shared" si="6"/>
        <v>132.46991150442429</v>
      </c>
      <c r="N14" s="184">
        <f t="shared" si="7"/>
        <v>3.3536685902720533</v>
      </c>
      <c r="O14" s="185">
        <f t="shared" si="14"/>
        <v>13.8</v>
      </c>
      <c r="P14" s="186"/>
      <c r="Q14" s="187"/>
      <c r="R14" s="407"/>
      <c r="S14" s="228"/>
      <c r="T14" s="244">
        <f t="shared" si="8"/>
        <v>9.67</v>
      </c>
      <c r="U14" s="245">
        <f t="shared" si="9"/>
        <v>9.57</v>
      </c>
      <c r="V14" s="246">
        <f t="shared" si="10"/>
        <v>9.4</v>
      </c>
      <c r="W14" s="247">
        <f t="shared" si="11"/>
        <v>915.7</v>
      </c>
      <c r="X14" s="248">
        <f t="shared" si="12"/>
        <v>569.29999999999995</v>
      </c>
      <c r="Y14" s="249">
        <f t="shared" si="13"/>
        <v>503.2</v>
      </c>
      <c r="Z14" s="236"/>
      <c r="AA14" s="250">
        <f t="shared" si="15"/>
        <v>9.2307692307692299</v>
      </c>
      <c r="AB14" s="243">
        <f t="shared" si="16"/>
        <v>13.846153846153847</v>
      </c>
      <c r="AC14" s="251">
        <f t="shared" si="17"/>
        <v>22.5</v>
      </c>
    </row>
    <row r="15" spans="1:29" ht="14.25">
      <c r="A15" s="148"/>
      <c r="B15" s="176">
        <v>9</v>
      </c>
      <c r="C15" s="177">
        <v>6732</v>
      </c>
      <c r="D15" s="178" t="str">
        <f t="shared" si="0"/>
        <v>アイデアル</v>
      </c>
      <c r="E15" s="266">
        <f t="shared" si="1"/>
        <v>9.59</v>
      </c>
      <c r="F15" s="179">
        <v>10</v>
      </c>
      <c r="G15" s="180">
        <v>0.56025462962962969</v>
      </c>
      <c r="H15" s="177">
        <f t="shared" si="2"/>
        <v>12406.000000000004</v>
      </c>
      <c r="I15" s="181">
        <f t="shared" si="3"/>
        <v>918.4</v>
      </c>
      <c r="J15" s="179"/>
      <c r="K15" s="182">
        <f t="shared" si="4"/>
        <v>2028.0800000000036</v>
      </c>
      <c r="L15" s="180">
        <f t="shared" si="5"/>
        <v>2.0166666666666683E-2</v>
      </c>
      <c r="M15" s="183">
        <f t="shared" si="6"/>
        <v>154.19469026548686</v>
      </c>
      <c r="N15" s="184">
        <f t="shared" si="7"/>
        <v>3.2790585200709326</v>
      </c>
      <c r="O15" s="185">
        <f t="shared" si="14"/>
        <v>11.5</v>
      </c>
      <c r="P15" s="219"/>
      <c r="Q15" s="187"/>
      <c r="R15" s="407"/>
      <c r="S15" s="228"/>
      <c r="T15" s="244">
        <f t="shared" si="8"/>
        <v>9.59</v>
      </c>
      <c r="U15" s="245">
        <f t="shared" si="9"/>
        <v>9.1300000000000008</v>
      </c>
      <c r="V15" s="246">
        <f t="shared" si="10"/>
        <v>8.76</v>
      </c>
      <c r="W15" s="247">
        <f t="shared" si="11"/>
        <v>918.4</v>
      </c>
      <c r="X15" s="248">
        <f t="shared" si="12"/>
        <v>578.79999999999995</v>
      </c>
      <c r="Y15" s="249">
        <f t="shared" si="13"/>
        <v>518</v>
      </c>
      <c r="Z15" s="236"/>
      <c r="AA15" s="250">
        <f t="shared" si="15"/>
        <v>7.6923076923076925</v>
      </c>
      <c r="AB15" s="243">
        <f t="shared" si="16"/>
        <v>11.538461538461538</v>
      </c>
      <c r="AC15" s="251">
        <f t="shared" si="17"/>
        <v>20</v>
      </c>
    </row>
    <row r="16" spans="1:29" ht="14.25">
      <c r="A16" s="148"/>
      <c r="B16" s="188">
        <v>10</v>
      </c>
      <c r="C16" s="189">
        <v>199</v>
      </c>
      <c r="D16" s="190" t="str">
        <f t="shared" si="0"/>
        <v>サ－モン4</v>
      </c>
      <c r="E16" s="267">
        <f t="shared" si="1"/>
        <v>8.99</v>
      </c>
      <c r="F16" s="191">
        <v>11</v>
      </c>
      <c r="G16" s="192">
        <v>0.5632638888888889</v>
      </c>
      <c r="H16" s="189">
        <f t="shared" si="2"/>
        <v>12666</v>
      </c>
      <c r="I16" s="203">
        <f t="shared" si="3"/>
        <v>939</v>
      </c>
      <c r="J16" s="191"/>
      <c r="K16" s="205">
        <f t="shared" si="4"/>
        <v>2055.2999999999993</v>
      </c>
      <c r="L16" s="192">
        <f t="shared" si="5"/>
        <v>2.0481712962962931E-2</v>
      </c>
      <c r="M16" s="206">
        <f t="shared" si="6"/>
        <v>156.60353982300859</v>
      </c>
      <c r="N16" s="207">
        <f t="shared" si="7"/>
        <v>3.2117479867361438</v>
      </c>
      <c r="O16" s="208">
        <f t="shared" si="14"/>
        <v>9.1999999999999993</v>
      </c>
      <c r="P16" s="260"/>
      <c r="Q16" s="202"/>
      <c r="R16" s="407"/>
      <c r="S16" s="228"/>
      <c r="T16" s="244">
        <f t="shared" si="8"/>
        <v>8.99</v>
      </c>
      <c r="U16" s="245">
        <f t="shared" si="9"/>
        <v>9.15</v>
      </c>
      <c r="V16" s="246">
        <f t="shared" si="10"/>
        <v>9.1</v>
      </c>
      <c r="W16" s="247">
        <f t="shared" si="11"/>
        <v>939</v>
      </c>
      <c r="X16" s="248">
        <f t="shared" si="12"/>
        <v>578.20000000000005</v>
      </c>
      <c r="Y16" s="249">
        <f t="shared" si="13"/>
        <v>509.9</v>
      </c>
      <c r="Z16" s="236"/>
      <c r="AA16" s="250">
        <f t="shared" si="15"/>
        <v>6.1538461538461542</v>
      </c>
      <c r="AB16" s="243">
        <f t="shared" si="16"/>
        <v>9.2307692307692299</v>
      </c>
      <c r="AC16" s="251">
        <f t="shared" si="17"/>
        <v>17.5</v>
      </c>
    </row>
    <row r="17" spans="1:29" ht="14.25">
      <c r="A17" s="148"/>
      <c r="B17" s="165">
        <v>11</v>
      </c>
      <c r="C17" s="166">
        <v>4010</v>
      </c>
      <c r="D17" s="167" t="str">
        <f t="shared" si="0"/>
        <v>ナジャ</v>
      </c>
      <c r="E17" s="265">
        <f t="shared" si="1"/>
        <v>10.47</v>
      </c>
      <c r="F17" s="168">
        <v>8</v>
      </c>
      <c r="G17" s="169">
        <v>0.55835648148148154</v>
      </c>
      <c r="H17" s="209">
        <f t="shared" si="2"/>
        <v>12242.000000000004</v>
      </c>
      <c r="I17" s="210">
        <f t="shared" si="3"/>
        <v>891.5</v>
      </c>
      <c r="J17" s="211"/>
      <c r="K17" s="212">
        <f t="shared" si="4"/>
        <v>2168.0500000000029</v>
      </c>
      <c r="L17" s="213">
        <f t="shared" si="5"/>
        <v>2.1786689814814825E-2</v>
      </c>
      <c r="M17" s="214">
        <f t="shared" si="6"/>
        <v>166.58141592920359</v>
      </c>
      <c r="N17" s="215">
        <f t="shared" si="7"/>
        <v>3.3229864401241622</v>
      </c>
      <c r="O17" s="174">
        <f t="shared" si="14"/>
        <v>6.9</v>
      </c>
      <c r="P17" s="264"/>
      <c r="Q17" s="175"/>
      <c r="R17" s="407"/>
      <c r="S17" s="228"/>
      <c r="T17" s="244">
        <f t="shared" si="8"/>
        <v>10.47</v>
      </c>
      <c r="U17" s="245">
        <f t="shared" si="9"/>
        <v>10.24</v>
      </c>
      <c r="V17" s="246">
        <f t="shared" si="10"/>
        <v>10.039999999999999</v>
      </c>
      <c r="W17" s="247">
        <f t="shared" si="11"/>
        <v>891.5</v>
      </c>
      <c r="X17" s="248">
        <f t="shared" si="12"/>
        <v>555.9</v>
      </c>
      <c r="Y17" s="249">
        <f t="shared" si="13"/>
        <v>489.8</v>
      </c>
      <c r="Z17" s="236"/>
      <c r="AA17" s="250">
        <f t="shared" si="15"/>
        <v>4.615384615384615</v>
      </c>
      <c r="AB17" s="243">
        <f t="shared" si="16"/>
        <v>6.9230769230769234</v>
      </c>
      <c r="AC17" s="251">
        <f t="shared" si="17"/>
        <v>15</v>
      </c>
    </row>
    <row r="18" spans="1:29" ht="14.25">
      <c r="A18" s="148"/>
      <c r="B18" s="176">
        <v>12</v>
      </c>
      <c r="C18" s="177">
        <v>346</v>
      </c>
      <c r="D18" s="178" t="str">
        <f t="shared" si="0"/>
        <v>飛車角</v>
      </c>
      <c r="E18" s="266">
        <f t="shared" si="1"/>
        <v>8.4</v>
      </c>
      <c r="F18" s="179">
        <v>12</v>
      </c>
      <c r="G18" s="180">
        <v>0.5747916666666667</v>
      </c>
      <c r="H18" s="177">
        <f t="shared" si="2"/>
        <v>13662.000000000002</v>
      </c>
      <c r="I18" s="181">
        <f t="shared" si="3"/>
        <v>960.8</v>
      </c>
      <c r="J18" s="259"/>
      <c r="K18" s="182">
        <f t="shared" si="4"/>
        <v>2804.9600000000009</v>
      </c>
      <c r="L18" s="180">
        <f t="shared" si="5"/>
        <v>2.9158333333333321E-2</v>
      </c>
      <c r="M18" s="183">
        <f t="shared" si="6"/>
        <v>222.94513274336271</v>
      </c>
      <c r="N18" s="184">
        <f t="shared" si="7"/>
        <v>2.9776021080368906</v>
      </c>
      <c r="O18" s="185">
        <f t="shared" si="14"/>
        <v>4.5999999999999996</v>
      </c>
      <c r="P18" s="219"/>
      <c r="Q18" s="187"/>
      <c r="R18" s="407"/>
      <c r="S18" s="228"/>
      <c r="T18" s="244">
        <f t="shared" si="8"/>
        <v>8.4</v>
      </c>
      <c r="U18" s="245">
        <f t="shared" si="9"/>
        <v>8.58</v>
      </c>
      <c r="V18" s="246">
        <f t="shared" si="10"/>
        <v>8.68</v>
      </c>
      <c r="W18" s="247">
        <f t="shared" si="11"/>
        <v>960.8</v>
      </c>
      <c r="X18" s="248">
        <f t="shared" si="12"/>
        <v>591.5</v>
      </c>
      <c r="Y18" s="249">
        <f t="shared" si="13"/>
        <v>519.79999999999995</v>
      </c>
      <c r="Z18" s="236"/>
      <c r="AA18" s="250">
        <f t="shared" si="15"/>
        <v>3.0769230769230771</v>
      </c>
      <c r="AB18" s="243">
        <f t="shared" si="16"/>
        <v>4.615384615384615</v>
      </c>
      <c r="AC18" s="251">
        <f t="shared" si="17"/>
        <v>12.5</v>
      </c>
    </row>
    <row r="19" spans="1:29" ht="14.25">
      <c r="A19" s="148"/>
      <c r="B19" s="176">
        <v>13</v>
      </c>
      <c r="C19" s="177">
        <v>131</v>
      </c>
      <c r="D19" s="178" t="str">
        <f t="shared" si="0"/>
        <v>ふるたか</v>
      </c>
      <c r="E19" s="266">
        <f t="shared" si="1"/>
        <v>8.2899999999999991</v>
      </c>
      <c r="F19" s="179">
        <v>13</v>
      </c>
      <c r="G19" s="180">
        <v>0.58401620370370366</v>
      </c>
      <c r="H19" s="177">
        <f t="shared" si="2"/>
        <v>14458.999999999995</v>
      </c>
      <c r="I19" s="181">
        <f t="shared" si="3"/>
        <v>965.1</v>
      </c>
      <c r="J19" s="259"/>
      <c r="K19" s="182">
        <f t="shared" si="4"/>
        <v>3553.3699999999935</v>
      </c>
      <c r="L19" s="180">
        <f>IFERROR((K19-$K$7)/86400,"")</f>
        <v>3.782048611111101E-2</v>
      </c>
      <c r="M19" s="183">
        <f>IFERROR((K19-$K$7)/$N$3,"")</f>
        <v>289.17610619468951</v>
      </c>
      <c r="N19" s="184">
        <f>IFERROR($N$3/(H19/3600),"")</f>
        <v>2.8134725776333096</v>
      </c>
      <c r="O19" s="185">
        <f>ROUND(IF($O$6="MAX=20",AA19,IF($O$6="MAX=30",AB19,IF($O$6="MAX=40",AC19,""))),1)</f>
        <v>2.2999999999999998</v>
      </c>
      <c r="P19" s="219"/>
      <c r="Q19" s="187"/>
      <c r="R19" s="407"/>
      <c r="S19" s="228"/>
      <c r="T19" s="244">
        <f t="shared" si="8"/>
        <v>8.2899999999999991</v>
      </c>
      <c r="U19" s="245">
        <f t="shared" si="9"/>
        <v>8.31</v>
      </c>
      <c r="V19" s="246">
        <f t="shared" si="10"/>
        <v>8.0500000000000007</v>
      </c>
      <c r="W19" s="247">
        <f t="shared" si="11"/>
        <v>965.1</v>
      </c>
      <c r="X19" s="248">
        <f t="shared" si="12"/>
        <v>598.20000000000005</v>
      </c>
      <c r="Y19" s="249">
        <f t="shared" si="13"/>
        <v>536.29999999999995</v>
      </c>
      <c r="Z19" s="236"/>
      <c r="AA19" s="250">
        <f t="shared" si="15"/>
        <v>1.5384615384615385</v>
      </c>
      <c r="AB19" s="243">
        <f t="shared" si="16"/>
        <v>2.3076923076923075</v>
      </c>
      <c r="AC19" s="251">
        <f t="shared" si="17"/>
        <v>10</v>
      </c>
    </row>
    <row r="20" spans="1:29" ht="14.25">
      <c r="A20" s="148"/>
      <c r="B20" s="176"/>
      <c r="C20" s="177"/>
      <c r="D20" s="178"/>
      <c r="E20" s="266"/>
      <c r="F20" s="179"/>
      <c r="G20" s="180"/>
      <c r="H20" s="177"/>
      <c r="I20" s="181"/>
      <c r="J20" s="259"/>
      <c r="K20" s="182"/>
      <c r="L20" s="180"/>
      <c r="M20" s="183"/>
      <c r="N20" s="184"/>
      <c r="O20" s="185"/>
      <c r="P20" s="264"/>
      <c r="Q20" s="187"/>
      <c r="R20" s="407"/>
      <c r="S20" s="228"/>
      <c r="T20" s="244" t="str">
        <f t="shared" si="8"/>
        <v/>
      </c>
      <c r="U20" s="245" t="str">
        <f t="shared" si="9"/>
        <v/>
      </c>
      <c r="V20" s="246" t="str">
        <f t="shared" si="10"/>
        <v/>
      </c>
      <c r="W20" s="247" t="str">
        <f t="shared" si="11"/>
        <v/>
      </c>
      <c r="X20" s="248" t="str">
        <f t="shared" si="12"/>
        <v/>
      </c>
      <c r="Y20" s="249" t="str">
        <f t="shared" si="13"/>
        <v/>
      </c>
      <c r="Z20" s="236"/>
      <c r="AA20" s="250" t="str">
        <f t="shared" si="15"/>
        <v/>
      </c>
      <c r="AB20" s="243" t="str">
        <f t="shared" si="16"/>
        <v/>
      </c>
      <c r="AC20" s="251" t="str">
        <f t="shared" si="17"/>
        <v/>
      </c>
    </row>
    <row r="21" spans="1:29" ht="14.25">
      <c r="A21" s="148"/>
      <c r="B21" s="188"/>
      <c r="C21" s="189"/>
      <c r="D21" s="190"/>
      <c r="E21" s="267"/>
      <c r="F21" s="191"/>
      <c r="G21" s="192"/>
      <c r="H21" s="189"/>
      <c r="I21" s="203"/>
      <c r="J21" s="204"/>
      <c r="K21" s="205"/>
      <c r="L21" s="192"/>
      <c r="M21" s="206"/>
      <c r="N21" s="207"/>
      <c r="O21" s="208"/>
      <c r="P21" s="260"/>
      <c r="Q21" s="202"/>
      <c r="R21" s="407"/>
      <c r="S21" s="228"/>
      <c r="T21" s="244" t="str">
        <f t="shared" si="8"/>
        <v/>
      </c>
      <c r="U21" s="245" t="str">
        <f t="shared" si="9"/>
        <v/>
      </c>
      <c r="V21" s="246" t="str">
        <f t="shared" si="10"/>
        <v/>
      </c>
      <c r="W21" s="247" t="str">
        <f t="shared" si="11"/>
        <v/>
      </c>
      <c r="X21" s="248" t="str">
        <f t="shared" si="12"/>
        <v/>
      </c>
      <c r="Y21" s="249" t="str">
        <f t="shared" si="13"/>
        <v/>
      </c>
      <c r="Z21" s="236"/>
      <c r="AA21" s="250" t="str">
        <f t="shared" si="15"/>
        <v/>
      </c>
      <c r="AB21" s="243" t="str">
        <f t="shared" si="16"/>
        <v/>
      </c>
      <c r="AC21" s="251" t="str">
        <f t="shared" si="17"/>
        <v/>
      </c>
    </row>
    <row r="22" spans="1:29" ht="14.25">
      <c r="A22" s="148"/>
      <c r="B22" s="217"/>
      <c r="C22" s="268">
        <v>2212</v>
      </c>
      <c r="D22" s="222" t="str">
        <f>IF(ISBLANK(C22),"",VLOOKUP(C22,各艇データ,2,FALSE))</f>
        <v>衣笠</v>
      </c>
      <c r="E22" s="211"/>
      <c r="F22" s="211"/>
      <c r="G22" s="213"/>
      <c r="H22" s="209"/>
      <c r="I22" s="210"/>
      <c r="J22" s="211"/>
      <c r="K22" s="212"/>
      <c r="L22" s="213"/>
      <c r="M22" s="214"/>
      <c r="N22" s="215"/>
      <c r="O22" s="216">
        <v>1</v>
      </c>
      <c r="P22" s="269" t="s">
        <v>380</v>
      </c>
      <c r="Q22" s="218"/>
      <c r="R22" s="407"/>
      <c r="S22" s="228"/>
      <c r="T22" s="244">
        <f t="shared" si="8"/>
        <v>8.86</v>
      </c>
      <c r="U22" s="245">
        <f t="shared" si="9"/>
        <v>9.09</v>
      </c>
      <c r="V22" s="246">
        <f t="shared" si="10"/>
        <v>9.0399999999999991</v>
      </c>
      <c r="W22" s="247">
        <f t="shared" si="11"/>
        <v>943.4</v>
      </c>
      <c r="X22" s="248">
        <f t="shared" si="12"/>
        <v>579.70000000000005</v>
      </c>
      <c r="Y22" s="249">
        <f t="shared" si="13"/>
        <v>511.3</v>
      </c>
      <c r="Z22" s="236"/>
      <c r="AA22" s="250" t="str">
        <f t="shared" si="15"/>
        <v/>
      </c>
      <c r="AB22" s="243" t="str">
        <f t="shared" si="16"/>
        <v/>
      </c>
      <c r="AC22" s="251" t="str">
        <f t="shared" si="17"/>
        <v/>
      </c>
    </row>
    <row r="23" spans="1:29" ht="14.25">
      <c r="A23" s="148"/>
      <c r="B23" s="176"/>
      <c r="C23" s="177"/>
      <c r="D23" s="178" t="str">
        <f>IF(ISBLANK(C23),"",VLOOKUP(C23,各艇データ,2,FALSE))</f>
        <v/>
      </c>
      <c r="E23" s="179"/>
      <c r="F23" s="179"/>
      <c r="G23" s="180"/>
      <c r="H23" s="177"/>
      <c r="I23" s="181"/>
      <c r="J23" s="179"/>
      <c r="K23" s="182"/>
      <c r="L23" s="180"/>
      <c r="M23" s="183"/>
      <c r="N23" s="184"/>
      <c r="O23" s="185"/>
      <c r="P23" s="219"/>
      <c r="Q23" s="187"/>
      <c r="R23" s="407"/>
      <c r="S23" s="228"/>
      <c r="T23" s="244" t="str">
        <f t="shared" si="8"/>
        <v/>
      </c>
      <c r="U23" s="245" t="str">
        <f t="shared" si="9"/>
        <v/>
      </c>
      <c r="V23" s="246" t="str">
        <f t="shared" si="10"/>
        <v/>
      </c>
      <c r="W23" s="247" t="str">
        <f t="shared" si="11"/>
        <v/>
      </c>
      <c r="X23" s="248" t="str">
        <f t="shared" si="12"/>
        <v/>
      </c>
      <c r="Y23" s="249" t="str">
        <f t="shared" si="13"/>
        <v/>
      </c>
      <c r="Z23" s="236"/>
      <c r="AA23" s="250" t="str">
        <f t="shared" si="15"/>
        <v/>
      </c>
      <c r="AB23" s="243" t="str">
        <f t="shared" si="16"/>
        <v/>
      </c>
      <c r="AC23" s="251" t="str">
        <f t="shared" si="17"/>
        <v/>
      </c>
    </row>
    <row r="24" spans="1:29" ht="14.25">
      <c r="A24" s="148"/>
      <c r="B24" s="217"/>
      <c r="C24" s="177"/>
      <c r="D24" s="222"/>
      <c r="E24" s="179"/>
      <c r="F24" s="179"/>
      <c r="G24" s="180"/>
      <c r="H24" s="177"/>
      <c r="I24" s="181"/>
      <c r="J24" s="179"/>
      <c r="K24" s="182"/>
      <c r="L24" s="180"/>
      <c r="M24" s="183"/>
      <c r="N24" s="184"/>
      <c r="O24" s="185"/>
      <c r="P24" s="220"/>
      <c r="Q24" s="187"/>
      <c r="R24" s="407"/>
      <c r="S24" s="228"/>
      <c r="T24" s="244" t="str">
        <f t="shared" si="8"/>
        <v/>
      </c>
      <c r="U24" s="245" t="str">
        <f t="shared" si="9"/>
        <v/>
      </c>
      <c r="V24" s="246" t="str">
        <f t="shared" si="10"/>
        <v/>
      </c>
      <c r="W24" s="247" t="str">
        <f t="shared" si="11"/>
        <v/>
      </c>
      <c r="X24" s="248" t="str">
        <f t="shared" si="12"/>
        <v/>
      </c>
      <c r="Y24" s="249" t="str">
        <f t="shared" si="13"/>
        <v/>
      </c>
      <c r="Z24" s="236"/>
      <c r="AA24" s="250" t="str">
        <f t="shared" si="15"/>
        <v/>
      </c>
      <c r="AB24" s="243" t="str">
        <f t="shared" si="16"/>
        <v/>
      </c>
      <c r="AC24" s="251" t="str">
        <f t="shared" si="17"/>
        <v/>
      </c>
    </row>
    <row r="25" spans="1:29" ht="14.25">
      <c r="A25" s="148"/>
      <c r="B25" s="176"/>
      <c r="C25" s="177"/>
      <c r="D25" s="178" t="str">
        <f t="shared" ref="D25:D31" si="18">IF(ISBLANK(C25),"",VLOOKUP(C25,各艇データ,2,FALSE))</f>
        <v/>
      </c>
      <c r="E25" s="179"/>
      <c r="F25" s="179"/>
      <c r="G25" s="180"/>
      <c r="H25" s="177"/>
      <c r="I25" s="181"/>
      <c r="J25" s="179"/>
      <c r="K25" s="182"/>
      <c r="L25" s="180"/>
      <c r="M25" s="183"/>
      <c r="N25" s="184"/>
      <c r="O25" s="185"/>
      <c r="P25" s="220"/>
      <c r="Q25" s="187"/>
      <c r="R25" s="407"/>
      <c r="S25" s="228"/>
      <c r="T25" s="244" t="str">
        <f t="shared" si="8"/>
        <v/>
      </c>
      <c r="U25" s="245" t="str">
        <f t="shared" si="9"/>
        <v/>
      </c>
      <c r="V25" s="246" t="str">
        <f t="shared" si="10"/>
        <v/>
      </c>
      <c r="W25" s="247" t="str">
        <f t="shared" si="11"/>
        <v/>
      </c>
      <c r="X25" s="248" t="str">
        <f t="shared" si="12"/>
        <v/>
      </c>
      <c r="Y25" s="249" t="str">
        <f t="shared" si="13"/>
        <v/>
      </c>
      <c r="Z25" s="236"/>
      <c r="AA25" s="250" t="str">
        <f t="shared" si="15"/>
        <v/>
      </c>
      <c r="AB25" s="243" t="str">
        <f t="shared" si="16"/>
        <v/>
      </c>
      <c r="AC25" s="251" t="str">
        <f t="shared" si="17"/>
        <v/>
      </c>
    </row>
    <row r="26" spans="1:29" ht="14.25">
      <c r="A26" s="148"/>
      <c r="B26" s="188"/>
      <c r="C26" s="189"/>
      <c r="D26" s="190" t="str">
        <f t="shared" si="18"/>
        <v/>
      </c>
      <c r="E26" s="191"/>
      <c r="F26" s="191"/>
      <c r="G26" s="192"/>
      <c r="H26" s="189" t="str">
        <f>IFERROR(IF(G26-$Q$2&lt;=0,"",(G26-$Q$2)*86400),"")</f>
        <v/>
      </c>
      <c r="I26" s="203" t="str">
        <f>IF($I$6="Ⅰ",W26,IF($I$6="Ⅱ",X26,IF($I$6="Ⅲ",Y26,"")))</f>
        <v/>
      </c>
      <c r="J26" s="191"/>
      <c r="K26" s="205" t="str">
        <f>IFERROR(H26*(1+0.01*J26)-I26*$N$3,"")</f>
        <v/>
      </c>
      <c r="L26" s="192" t="str">
        <f>IFERROR((K26-$K$7)/86400,"")</f>
        <v/>
      </c>
      <c r="M26" s="206" t="str">
        <f>IFERROR((K26-$K$7)/$N$3,"")</f>
        <v/>
      </c>
      <c r="N26" s="207" t="str">
        <f>IFERROR($N$3/(H26/3600),"")</f>
        <v/>
      </c>
      <c r="O26" s="208" t="str">
        <f>IF($O$6="MAX=20",AA26,IF($O$6="MAX=30",AB26,IF($O$6="MAX=40",AC26,"")))</f>
        <v/>
      </c>
      <c r="P26" s="221"/>
      <c r="Q26" s="202"/>
      <c r="R26" s="407"/>
      <c r="S26" s="228"/>
      <c r="T26" s="244" t="str">
        <f t="shared" si="8"/>
        <v/>
      </c>
      <c r="U26" s="245" t="str">
        <f t="shared" si="9"/>
        <v/>
      </c>
      <c r="V26" s="246" t="str">
        <f t="shared" si="10"/>
        <v/>
      </c>
      <c r="W26" s="247" t="str">
        <f t="shared" si="11"/>
        <v/>
      </c>
      <c r="X26" s="248" t="str">
        <f t="shared" si="12"/>
        <v/>
      </c>
      <c r="Y26" s="249" t="str">
        <f t="shared" si="13"/>
        <v/>
      </c>
      <c r="Z26" s="236"/>
      <c r="AA26" s="250" t="str">
        <f t="shared" si="15"/>
        <v/>
      </c>
      <c r="AB26" s="243" t="str">
        <f t="shared" si="16"/>
        <v/>
      </c>
      <c r="AC26" s="251" t="str">
        <f t="shared" si="17"/>
        <v/>
      </c>
    </row>
    <row r="27" spans="1:29"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407"/>
      <c r="S27" s="228"/>
      <c r="T27" s="244" t="str">
        <f t="shared" si="8"/>
        <v/>
      </c>
      <c r="U27" s="245" t="str">
        <f t="shared" si="9"/>
        <v/>
      </c>
      <c r="V27" s="246" t="str">
        <f t="shared" si="10"/>
        <v/>
      </c>
      <c r="W27" s="247" t="str">
        <f t="shared" si="11"/>
        <v/>
      </c>
      <c r="X27" s="248" t="str">
        <f t="shared" si="12"/>
        <v/>
      </c>
      <c r="Y27" s="249" t="str">
        <f t="shared" si="13"/>
        <v/>
      </c>
      <c r="Z27" s="236"/>
      <c r="AA27" s="250" t="str">
        <f t="shared" si="15"/>
        <v/>
      </c>
      <c r="AB27" s="243" t="str">
        <f t="shared" si="16"/>
        <v/>
      </c>
      <c r="AC27" s="251" t="str">
        <f t="shared" si="17"/>
        <v/>
      </c>
    </row>
    <row r="28" spans="1:29" ht="14.25" customHeight="1">
      <c r="A28" s="148"/>
      <c r="B28" s="176"/>
      <c r="C28" s="177"/>
      <c r="D28" s="178" t="str">
        <f t="shared" si="18"/>
        <v/>
      </c>
      <c r="E28" s="179"/>
      <c r="F28" s="179"/>
      <c r="G28" s="180"/>
      <c r="H28" s="177"/>
      <c r="I28" s="181"/>
      <c r="J28" s="179"/>
      <c r="K28" s="182"/>
      <c r="L28" s="180"/>
      <c r="M28" s="183"/>
      <c r="N28" s="184"/>
      <c r="O28" s="185"/>
      <c r="P28" s="224"/>
      <c r="Q28" s="187"/>
      <c r="R28" s="407"/>
      <c r="S28" s="228"/>
      <c r="T28" s="244" t="str">
        <f t="shared" si="8"/>
        <v/>
      </c>
      <c r="U28" s="245" t="str">
        <f t="shared" si="9"/>
        <v/>
      </c>
      <c r="V28" s="246" t="str">
        <f t="shared" si="10"/>
        <v/>
      </c>
      <c r="W28" s="247" t="str">
        <f t="shared" si="11"/>
        <v/>
      </c>
      <c r="X28" s="248" t="str">
        <f t="shared" si="12"/>
        <v/>
      </c>
      <c r="Y28" s="249" t="str">
        <f t="shared" si="13"/>
        <v/>
      </c>
      <c r="Z28" s="236"/>
      <c r="AA28" s="250" t="str">
        <f t="shared" si="15"/>
        <v/>
      </c>
      <c r="AB28" s="243" t="str">
        <f t="shared" si="16"/>
        <v/>
      </c>
      <c r="AC28" s="251" t="str">
        <f t="shared" si="17"/>
        <v/>
      </c>
    </row>
    <row r="29" spans="1:29" ht="14.25">
      <c r="A29" s="148"/>
      <c r="B29" s="176"/>
      <c r="C29" s="177"/>
      <c r="D29" s="178" t="str">
        <f t="shared" si="18"/>
        <v/>
      </c>
      <c r="E29" s="179"/>
      <c r="F29" s="179"/>
      <c r="G29" s="180"/>
      <c r="H29" s="177"/>
      <c r="I29" s="181"/>
      <c r="J29" s="179"/>
      <c r="K29" s="182"/>
      <c r="L29" s="180"/>
      <c r="M29" s="183"/>
      <c r="N29" s="184"/>
      <c r="O29" s="185"/>
      <c r="P29" s="220"/>
      <c r="Q29" s="187"/>
      <c r="R29" s="407"/>
      <c r="S29" s="228"/>
      <c r="T29" s="244" t="str">
        <f t="shared" si="8"/>
        <v/>
      </c>
      <c r="U29" s="245" t="str">
        <f t="shared" si="9"/>
        <v/>
      </c>
      <c r="V29" s="246" t="str">
        <f t="shared" si="10"/>
        <v/>
      </c>
      <c r="W29" s="247" t="str">
        <f t="shared" si="11"/>
        <v/>
      </c>
      <c r="X29" s="248" t="str">
        <f t="shared" si="12"/>
        <v/>
      </c>
      <c r="Y29" s="249" t="str">
        <f t="shared" si="13"/>
        <v/>
      </c>
      <c r="Z29" s="236"/>
      <c r="AA29" s="250" t="str">
        <f t="shared" si="15"/>
        <v/>
      </c>
      <c r="AB29" s="243" t="str">
        <f t="shared" si="16"/>
        <v/>
      </c>
      <c r="AC29" s="251" t="str">
        <f t="shared" si="17"/>
        <v/>
      </c>
    </row>
    <row r="30" spans="1:29" ht="14.25" customHeight="1">
      <c r="A30" s="148"/>
      <c r="B30" s="176"/>
      <c r="C30" s="177"/>
      <c r="D30" s="178" t="str">
        <f t="shared" si="18"/>
        <v/>
      </c>
      <c r="E30" s="179"/>
      <c r="F30" s="179"/>
      <c r="G30" s="180"/>
      <c r="H30" s="177"/>
      <c r="I30" s="181"/>
      <c r="J30" s="179"/>
      <c r="K30" s="182"/>
      <c r="L30" s="180"/>
      <c r="M30" s="183"/>
      <c r="N30" s="184"/>
      <c r="O30" s="185"/>
      <c r="P30" s="220"/>
      <c r="Q30" s="187"/>
      <c r="R30" s="407"/>
      <c r="S30" s="228"/>
      <c r="T30" s="244" t="str">
        <f t="shared" si="8"/>
        <v/>
      </c>
      <c r="U30" s="245" t="str">
        <f t="shared" si="9"/>
        <v/>
      </c>
      <c r="V30" s="246" t="str">
        <f t="shared" si="10"/>
        <v/>
      </c>
      <c r="W30" s="247" t="str">
        <f t="shared" si="11"/>
        <v/>
      </c>
      <c r="X30" s="248" t="str">
        <f t="shared" si="12"/>
        <v/>
      </c>
      <c r="Y30" s="249" t="str">
        <f t="shared" si="13"/>
        <v/>
      </c>
      <c r="Z30" s="236"/>
      <c r="AA30" s="250" t="str">
        <f t="shared" si="15"/>
        <v/>
      </c>
      <c r="AB30" s="243" t="str">
        <f t="shared" si="16"/>
        <v/>
      </c>
      <c r="AC30" s="251" t="str">
        <f t="shared" si="17"/>
        <v/>
      </c>
    </row>
    <row r="31" spans="1:29" ht="15" thickBot="1">
      <c r="A31" s="148"/>
      <c r="B31" s="176"/>
      <c r="C31" s="177"/>
      <c r="D31" s="190" t="str">
        <f t="shared" si="18"/>
        <v/>
      </c>
      <c r="E31" s="191"/>
      <c r="F31" s="179"/>
      <c r="G31" s="180"/>
      <c r="H31" s="189" t="str">
        <f>IFERROR(IF(G31-$Q$2&lt;=0,"",(G31-$Q$2)*86400),"")</f>
        <v/>
      </c>
      <c r="I31" s="203" t="str">
        <f>IF($I$6="Ⅰ",W31,IF($I$6="Ⅱ",X31,IF($I$6="Ⅲ",Y31,"")))</f>
        <v/>
      </c>
      <c r="J31" s="191"/>
      <c r="K31" s="205" t="str">
        <f>IFERROR(H31*(1+0.01*J31)-I31*$N$3,"")</f>
        <v/>
      </c>
      <c r="L31" s="192" t="str">
        <f>IFERROR((K31-$K$7)/86400,"")</f>
        <v/>
      </c>
      <c r="M31" s="206" t="str">
        <f>IFERROR((K31-$K$7)/$N$3,"")</f>
        <v/>
      </c>
      <c r="N31" s="207" t="str">
        <f>IFERROR($N$3/(H31/3600),"")</f>
        <v/>
      </c>
      <c r="O31" s="208" t="str">
        <f>IF($O$6="MAX=20",AA31,IF($O$6="MAX=30",AB31,IF($O$6="MAX=40",AC31,"")))</f>
        <v/>
      </c>
      <c r="P31" s="221"/>
      <c r="Q31" s="202"/>
      <c r="R31" s="407"/>
      <c r="S31" s="228"/>
      <c r="T31" s="252" t="str">
        <f t="shared" si="8"/>
        <v/>
      </c>
      <c r="U31" s="253" t="str">
        <f t="shared" si="9"/>
        <v/>
      </c>
      <c r="V31" s="254" t="str">
        <f t="shared" si="10"/>
        <v/>
      </c>
      <c r="W31" s="255" t="str">
        <f t="shared" si="11"/>
        <v/>
      </c>
      <c r="X31" s="256" t="str">
        <f t="shared" si="12"/>
        <v/>
      </c>
      <c r="Y31" s="257" t="str">
        <f t="shared" si="13"/>
        <v/>
      </c>
      <c r="Z31" s="236"/>
      <c r="AA31" s="261" t="str">
        <f t="shared" si="15"/>
        <v/>
      </c>
      <c r="AB31" s="262" t="str">
        <f t="shared" si="16"/>
        <v/>
      </c>
      <c r="AC31" s="263" t="str">
        <f t="shared" si="17"/>
        <v/>
      </c>
    </row>
    <row r="32" spans="1:29" ht="15" customHeight="1">
      <c r="A32" s="148"/>
      <c r="B32" s="442" t="s">
        <v>264</v>
      </c>
      <c r="C32" s="443"/>
      <c r="D32" s="444"/>
      <c r="E32" s="225" t="s">
        <v>184</v>
      </c>
      <c r="F32" s="451" t="s">
        <v>372</v>
      </c>
      <c r="G32" s="452"/>
      <c r="H32" s="453" t="s">
        <v>381</v>
      </c>
      <c r="I32" s="454"/>
      <c r="J32" s="454"/>
      <c r="K32" s="454"/>
      <c r="L32" s="454"/>
      <c r="M32" s="454"/>
      <c r="N32" s="454"/>
      <c r="O32" s="454"/>
      <c r="P32" s="454"/>
      <c r="Q32" s="455"/>
      <c r="R32" s="408"/>
      <c r="S32" s="139"/>
      <c r="T32" s="231"/>
      <c r="U32" s="231"/>
      <c r="V32" s="231"/>
      <c r="Y32" s="231"/>
      <c r="Z32" s="231"/>
    </row>
    <row r="33" spans="1:26" ht="15" customHeight="1">
      <c r="A33" s="148"/>
      <c r="B33" s="445"/>
      <c r="C33" s="446"/>
      <c r="D33" s="447"/>
      <c r="E33" s="226" t="s">
        <v>185</v>
      </c>
      <c r="F33" s="462" t="s">
        <v>373</v>
      </c>
      <c r="G33" s="463"/>
      <c r="H33" s="456"/>
      <c r="I33" s="457"/>
      <c r="J33" s="457"/>
      <c r="K33" s="457"/>
      <c r="L33" s="457"/>
      <c r="M33" s="457"/>
      <c r="N33" s="457"/>
      <c r="O33" s="457"/>
      <c r="P33" s="457"/>
      <c r="Q33" s="458"/>
      <c r="R33" s="408"/>
      <c r="S33" s="139"/>
      <c r="T33" s="231"/>
      <c r="U33" s="231"/>
      <c r="V33" s="231"/>
      <c r="Y33" s="231"/>
      <c r="Z33" s="231"/>
    </row>
    <row r="34" spans="1:26" ht="23.25" customHeight="1">
      <c r="A34" s="148"/>
      <c r="B34" s="448"/>
      <c r="C34" s="449"/>
      <c r="D34" s="450"/>
      <c r="E34" s="226" t="s">
        <v>186</v>
      </c>
      <c r="F34" s="462" t="s">
        <v>374</v>
      </c>
      <c r="G34" s="463"/>
      <c r="H34" s="456"/>
      <c r="I34" s="457"/>
      <c r="J34" s="457"/>
      <c r="K34" s="457"/>
      <c r="L34" s="457"/>
      <c r="M34" s="457"/>
      <c r="N34" s="457"/>
      <c r="O34" s="457"/>
      <c r="P34" s="457"/>
      <c r="Q34" s="458"/>
      <c r="R34" s="408"/>
      <c r="S34" s="139"/>
      <c r="T34" s="231"/>
      <c r="U34" s="231"/>
      <c r="V34" s="231"/>
      <c r="Y34" s="231"/>
      <c r="Z34" s="231"/>
    </row>
    <row r="35" spans="1:26" ht="22.5" customHeight="1">
      <c r="A35" s="148"/>
      <c r="B35" s="464" t="s">
        <v>265</v>
      </c>
      <c r="C35" s="465"/>
      <c r="D35" s="466"/>
      <c r="E35" s="436" t="s">
        <v>188</v>
      </c>
      <c r="F35" s="462" t="str">
        <f>参照ﾃﾞｰﾀ!AL11</f>
        <v>衣笠</v>
      </c>
      <c r="G35" s="463"/>
      <c r="H35" s="456"/>
      <c r="I35" s="457"/>
      <c r="J35" s="457"/>
      <c r="K35" s="457"/>
      <c r="L35" s="457"/>
      <c r="M35" s="457"/>
      <c r="N35" s="457"/>
      <c r="O35" s="457"/>
      <c r="P35" s="457"/>
      <c r="Q35" s="458"/>
      <c r="R35" s="408"/>
      <c r="S35" s="139"/>
      <c r="T35" s="231"/>
      <c r="U35" s="231"/>
      <c r="V35" s="231"/>
      <c r="Y35" s="231"/>
      <c r="Z35" s="231"/>
    </row>
    <row r="36" spans="1:26" ht="15" customHeight="1">
      <c r="A36" s="148"/>
      <c r="B36" s="467"/>
      <c r="C36" s="468"/>
      <c r="D36" s="469"/>
      <c r="E36" s="475"/>
      <c r="F36" s="462"/>
      <c r="G36" s="463"/>
      <c r="H36" s="456"/>
      <c r="I36" s="457"/>
      <c r="J36" s="457"/>
      <c r="K36" s="457"/>
      <c r="L36" s="457"/>
      <c r="M36" s="457"/>
      <c r="N36" s="457"/>
      <c r="O36" s="457"/>
      <c r="P36" s="457"/>
      <c r="Q36" s="458"/>
      <c r="R36" s="408"/>
      <c r="S36" s="139"/>
      <c r="T36" s="231"/>
      <c r="U36" s="231"/>
      <c r="V36" s="231"/>
      <c r="Y36" s="231"/>
      <c r="Z36" s="231"/>
    </row>
    <row r="37" spans="1:26" ht="15" customHeight="1">
      <c r="A37" s="148"/>
      <c r="B37" s="467"/>
      <c r="C37" s="468"/>
      <c r="D37" s="469"/>
      <c r="E37" s="225" t="s">
        <v>187</v>
      </c>
      <c r="F37" s="476">
        <v>43723</v>
      </c>
      <c r="G37" s="452"/>
      <c r="H37" s="456"/>
      <c r="I37" s="457"/>
      <c r="J37" s="457"/>
      <c r="K37" s="457"/>
      <c r="L37" s="457"/>
      <c r="M37" s="457"/>
      <c r="N37" s="457"/>
      <c r="O37" s="457"/>
      <c r="P37" s="457"/>
      <c r="Q37" s="458"/>
      <c r="R37" s="408"/>
      <c r="S37" s="139"/>
      <c r="T37" s="231"/>
      <c r="U37" s="231"/>
      <c r="V37" s="231"/>
      <c r="Y37" s="231"/>
      <c r="Z37" s="231"/>
    </row>
    <row r="38" spans="1:26" ht="15" customHeight="1">
      <c r="A38" s="148"/>
      <c r="B38" s="467"/>
      <c r="C38" s="468"/>
      <c r="D38" s="469"/>
      <c r="E38" s="226" t="s">
        <v>200</v>
      </c>
      <c r="F38" s="462" t="s">
        <v>298</v>
      </c>
      <c r="G38" s="463"/>
      <c r="H38" s="456"/>
      <c r="I38" s="457"/>
      <c r="J38" s="457"/>
      <c r="K38" s="457"/>
      <c r="L38" s="457"/>
      <c r="M38" s="457"/>
      <c r="N38" s="457"/>
      <c r="O38" s="457"/>
      <c r="P38" s="457"/>
      <c r="Q38" s="458"/>
      <c r="R38" s="408"/>
      <c r="S38" s="139"/>
      <c r="T38" s="231"/>
      <c r="U38" s="231"/>
      <c r="V38" s="231"/>
      <c r="Y38" s="231"/>
      <c r="Z38" s="231"/>
    </row>
    <row r="39" spans="1:26" ht="15" customHeight="1">
      <c r="A39" s="148"/>
      <c r="B39" s="467"/>
      <c r="C39" s="468"/>
      <c r="D39" s="469"/>
      <c r="E39" s="436" t="s">
        <v>188</v>
      </c>
      <c r="F39" s="462" t="str">
        <f>参照ﾃﾞｰﾀ!AL13</f>
        <v>アイデアル</v>
      </c>
      <c r="G39" s="463"/>
      <c r="H39" s="456"/>
      <c r="I39" s="457"/>
      <c r="J39" s="457"/>
      <c r="K39" s="457"/>
      <c r="L39" s="457"/>
      <c r="M39" s="457"/>
      <c r="N39" s="457"/>
      <c r="O39" s="457"/>
      <c r="P39" s="457"/>
      <c r="Q39" s="458"/>
      <c r="R39" s="408"/>
      <c r="S39" s="139"/>
      <c r="T39" s="231"/>
      <c r="U39" s="231"/>
      <c r="V39" s="231"/>
      <c r="Y39" s="231"/>
      <c r="Z39" s="231"/>
    </row>
    <row r="40" spans="1:26" ht="15" customHeight="1">
      <c r="A40" s="148"/>
      <c r="B40" s="467"/>
      <c r="C40" s="468"/>
      <c r="D40" s="469"/>
      <c r="E40" s="436"/>
      <c r="F40" s="462"/>
      <c r="G40" s="463"/>
      <c r="H40" s="456"/>
      <c r="I40" s="457"/>
      <c r="J40" s="457"/>
      <c r="K40" s="457"/>
      <c r="L40" s="457"/>
      <c r="M40" s="457"/>
      <c r="N40" s="457"/>
      <c r="O40" s="457"/>
      <c r="P40" s="457"/>
      <c r="Q40" s="458"/>
      <c r="R40" s="408"/>
      <c r="S40" s="139"/>
      <c r="T40" s="231"/>
      <c r="U40" s="231"/>
      <c r="V40" s="231"/>
      <c r="Y40" s="231"/>
      <c r="Z40" s="231"/>
    </row>
    <row r="41" spans="1:26" ht="11.25" customHeight="1" thickBot="1">
      <c r="A41" s="148"/>
      <c r="B41" s="470"/>
      <c r="C41" s="471"/>
      <c r="D41" s="472"/>
      <c r="E41" s="227"/>
      <c r="F41" s="473"/>
      <c r="G41" s="474"/>
      <c r="H41" s="459"/>
      <c r="I41" s="460"/>
      <c r="J41" s="460"/>
      <c r="K41" s="460"/>
      <c r="L41" s="460"/>
      <c r="M41" s="460"/>
      <c r="N41" s="460"/>
      <c r="O41" s="460"/>
      <c r="P41" s="460"/>
      <c r="Q41" s="461"/>
      <c r="R41" s="408"/>
      <c r="S41" s="139"/>
      <c r="T41" s="231"/>
      <c r="U41" s="231"/>
      <c r="V41" s="231"/>
      <c r="W41" s="231"/>
      <c r="X41" s="231"/>
      <c r="Y41" s="231"/>
      <c r="Z41" s="231"/>
    </row>
    <row r="42" spans="1:26">
      <c r="A42" s="148"/>
      <c r="B42" s="148"/>
      <c r="C42" s="148"/>
      <c r="D42" s="148"/>
      <c r="E42" s="148"/>
      <c r="F42" s="148"/>
      <c r="G42" s="148"/>
      <c r="H42" s="148"/>
      <c r="I42" s="148"/>
      <c r="J42" s="148"/>
      <c r="K42" s="148"/>
      <c r="L42" s="148"/>
      <c r="M42" s="148"/>
      <c r="N42" s="148"/>
      <c r="O42" s="148"/>
      <c r="P42" s="148"/>
      <c r="Q42" s="148"/>
      <c r="R42" s="148"/>
      <c r="S42" s="148"/>
    </row>
  </sheetData>
  <sheetProtection algorithmName="SHA-512" hashValue="EPDVbR+nIgH2/BIlRS8jwiMLOZur2gsGC80ejZekAgY0sN3v6NSocmdQ48ITvggX5AOkC6xhiFRj/5y1C1+hgw==" saltValue="Iv4iQzPKyeBB+tdRgazKgQ==" spinCount="100000" sheet="1" objects="1" scenarios="1"/>
  <sortState ref="C7:K19">
    <sortCondition ref="K7:K19"/>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P2 F37:G37">
      <formula1>開催日</formula1>
    </dataValidation>
    <dataValidation type="list" allowBlank="1" showInputMessage="1" showErrorMessage="1" sqref="Q2:R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85" zoomScaleNormal="85" workbookViewId="0">
      <selection activeCell="J3" sqref="J3:K3"/>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2" style="230" customWidth="1"/>
    <col min="8" max="8" width="1" style="230" customWidth="1"/>
    <col min="9" max="9" width="8.625" style="230" customWidth="1"/>
    <col min="10" max="10" width="5" style="230" customWidth="1"/>
    <col min="11" max="11" width="8.5" style="230" customWidth="1"/>
    <col min="12" max="12" width="10.875" style="230" customWidth="1"/>
    <col min="13" max="13" width="9.5" style="230" customWidth="1"/>
    <col min="14" max="14" width="7.875" style="230" customWidth="1"/>
    <col min="15" max="15" width="8" style="230" customWidth="1"/>
    <col min="16" max="16" width="12" style="230" bestFit="1" customWidth="1"/>
    <col min="17" max="17" width="11.625" style="230" customWidth="1"/>
    <col min="18" max="18" width="4.875" style="230" customWidth="1"/>
    <col min="19" max="21" width="7.625" style="230" customWidth="1"/>
    <col min="22" max="22" width="8.25" style="230" customWidth="1"/>
    <col min="23" max="24" width="7.625" style="230" customWidth="1"/>
    <col min="25" max="25" width="4.5" style="230" customWidth="1"/>
    <col min="26" max="28" width="8" style="230" customWidth="1"/>
    <col min="29" max="16384" width="9" style="230"/>
  </cols>
  <sheetData>
    <row r="1" spans="1:28" ht="9.75" customHeight="1" thickBot="1">
      <c r="A1" s="148"/>
      <c r="B1" s="148"/>
      <c r="C1" s="148"/>
      <c r="D1" s="148"/>
      <c r="E1" s="148"/>
      <c r="F1" s="148"/>
      <c r="G1" s="148"/>
      <c r="H1" s="148"/>
      <c r="I1" s="148"/>
      <c r="J1" s="148"/>
      <c r="K1" s="148"/>
      <c r="L1" s="148"/>
      <c r="M1" s="148"/>
      <c r="N1" s="148"/>
      <c r="O1" s="148"/>
      <c r="P1" s="148"/>
      <c r="Q1" s="148"/>
      <c r="R1" s="148"/>
    </row>
    <row r="2" spans="1:28" ht="21">
      <c r="A2" s="148"/>
      <c r="B2" s="139"/>
      <c r="C2" s="140"/>
      <c r="D2" s="437" t="str">
        <f>参照ﾃﾞｰﾀ!P4</f>
        <v>2019年</v>
      </c>
      <c r="E2" s="437"/>
      <c r="F2" s="437"/>
      <c r="G2" s="141" t="s">
        <v>196</v>
      </c>
      <c r="H2" s="142"/>
      <c r="I2" s="143"/>
      <c r="J2" s="139"/>
      <c r="K2" s="144"/>
      <c r="L2" s="139"/>
      <c r="M2" s="145" t="s">
        <v>52</v>
      </c>
      <c r="N2" s="146" t="s">
        <v>62</v>
      </c>
      <c r="O2" s="147" t="s">
        <v>54</v>
      </c>
      <c r="P2" s="280">
        <v>43709</v>
      </c>
      <c r="Q2" s="410" t="s">
        <v>386</v>
      </c>
      <c r="R2" s="139"/>
      <c r="S2" s="232" t="s">
        <v>2</v>
      </c>
      <c r="T2" s="231"/>
      <c r="U2" s="231"/>
      <c r="V2" s="231"/>
      <c r="W2" s="231"/>
      <c r="X2" s="231"/>
      <c r="Y2" s="231"/>
    </row>
    <row r="3" spans="1:28" ht="21.75" customHeight="1" thickBot="1">
      <c r="A3" s="148"/>
      <c r="B3" s="139"/>
      <c r="C3" s="148"/>
      <c r="D3" s="400" t="s">
        <v>247</v>
      </c>
      <c r="E3" s="438" t="s">
        <v>64</v>
      </c>
      <c r="F3" s="438"/>
      <c r="G3" s="438"/>
      <c r="H3" s="438"/>
      <c r="I3" s="438"/>
      <c r="J3" s="439" t="s">
        <v>86</v>
      </c>
      <c r="K3" s="439"/>
      <c r="L3" s="139"/>
      <c r="M3" s="150" t="s">
        <v>75</v>
      </c>
      <c r="N3" s="151">
        <f>IF(ISBLANK(N2),"",VLOOKUP(N2,コース・距離,2,FALSE))</f>
        <v>26.6</v>
      </c>
      <c r="O3" s="152" t="s">
        <v>0</v>
      </c>
      <c r="P3" s="153"/>
      <c r="Q3" s="154" t="s">
        <v>1</v>
      </c>
      <c r="R3" s="139"/>
      <c r="S3" s="231" t="s">
        <v>234</v>
      </c>
      <c r="T3" s="231"/>
      <c r="U3" s="231"/>
      <c r="V3" s="232" t="s">
        <v>2</v>
      </c>
      <c r="W3" s="231"/>
      <c r="X3" s="231"/>
      <c r="Y3" s="231"/>
      <c r="Z3" s="233" t="s">
        <v>76</v>
      </c>
    </row>
    <row r="4" spans="1:28" ht="7.5" customHeight="1" thickBot="1">
      <c r="A4" s="148"/>
      <c r="B4" s="139"/>
      <c r="C4" s="139"/>
      <c r="D4" s="139"/>
      <c r="E4" s="139"/>
      <c r="F4" s="139"/>
      <c r="G4" s="139"/>
      <c r="H4" s="139"/>
      <c r="I4" s="139"/>
      <c r="J4" s="139"/>
      <c r="K4" s="139"/>
      <c r="L4" s="139"/>
      <c r="M4" s="139"/>
      <c r="N4" s="139"/>
      <c r="O4" s="139"/>
      <c r="P4" s="139"/>
      <c r="Q4" s="139"/>
      <c r="R4" s="139"/>
      <c r="S4" s="231"/>
      <c r="T4" s="231"/>
      <c r="U4" s="231"/>
      <c r="V4" s="234"/>
      <c r="W4" s="231"/>
      <c r="X4" s="231"/>
      <c r="Y4" s="231"/>
    </row>
    <row r="5" spans="1:28" ht="14.25">
      <c r="A5" s="148"/>
      <c r="B5" s="155" t="s">
        <v>3</v>
      </c>
      <c r="C5" s="156" t="s">
        <v>4</v>
      </c>
      <c r="D5" s="156" t="s">
        <v>5</v>
      </c>
      <c r="E5" s="156" t="s">
        <v>6</v>
      </c>
      <c r="F5" s="156" t="s">
        <v>385</v>
      </c>
      <c r="G5" s="409" t="s">
        <v>382</v>
      </c>
      <c r="H5" s="156"/>
      <c r="I5" s="156" t="s">
        <v>10</v>
      </c>
      <c r="J5" s="156" t="s">
        <v>11</v>
      </c>
      <c r="K5" s="156" t="s">
        <v>12</v>
      </c>
      <c r="L5" s="409" t="s">
        <v>383</v>
      </c>
      <c r="M5" s="157" t="s">
        <v>387</v>
      </c>
      <c r="N5" s="156" t="s">
        <v>71</v>
      </c>
      <c r="O5" s="156" t="s">
        <v>13</v>
      </c>
      <c r="P5" s="440" t="s">
        <v>70</v>
      </c>
      <c r="Q5" s="441"/>
      <c r="R5" s="228"/>
      <c r="S5" s="237" t="s">
        <v>10</v>
      </c>
      <c r="T5" s="235" t="s">
        <v>10</v>
      </c>
      <c r="U5" s="238" t="s">
        <v>10</v>
      </c>
      <c r="V5" s="237" t="s">
        <v>10</v>
      </c>
      <c r="W5" s="235" t="s">
        <v>10</v>
      </c>
      <c r="X5" s="238" t="s">
        <v>10</v>
      </c>
      <c r="Y5" s="236"/>
      <c r="Z5" s="237" t="s">
        <v>13</v>
      </c>
      <c r="AA5" s="235" t="s">
        <v>13</v>
      </c>
      <c r="AB5" s="238" t="s">
        <v>13</v>
      </c>
    </row>
    <row r="6" spans="1:28" ht="14.25">
      <c r="A6" s="148"/>
      <c r="B6" s="158"/>
      <c r="C6" s="159" t="s">
        <v>14</v>
      </c>
      <c r="D6" s="160"/>
      <c r="E6" s="161" t="s">
        <v>15</v>
      </c>
      <c r="F6" s="161"/>
      <c r="G6" s="159" t="s">
        <v>16</v>
      </c>
      <c r="H6" s="161"/>
      <c r="I6" s="159" t="s">
        <v>336</v>
      </c>
      <c r="J6" s="161" t="s">
        <v>18</v>
      </c>
      <c r="K6" s="161" t="s">
        <v>17</v>
      </c>
      <c r="L6" s="159" t="s">
        <v>16</v>
      </c>
      <c r="M6" s="161" t="s">
        <v>388</v>
      </c>
      <c r="N6" s="161" t="s">
        <v>19</v>
      </c>
      <c r="O6" s="162" t="str">
        <f>"MAX=0"</f>
        <v>MAX=0</v>
      </c>
      <c r="P6" s="163"/>
      <c r="Q6" s="164"/>
      <c r="R6" s="229"/>
      <c r="S6" s="241" t="s">
        <v>20</v>
      </c>
      <c r="T6" s="239" t="s">
        <v>22</v>
      </c>
      <c r="U6" s="242" t="s">
        <v>21</v>
      </c>
      <c r="V6" s="241" t="s">
        <v>20</v>
      </c>
      <c r="W6" s="239" t="s">
        <v>22</v>
      </c>
      <c r="X6" s="242" t="s">
        <v>21</v>
      </c>
      <c r="Y6" s="240"/>
      <c r="Z6" s="241" t="s">
        <v>78</v>
      </c>
      <c r="AA6" s="239" t="s">
        <v>79</v>
      </c>
      <c r="AB6" s="242" t="s">
        <v>80</v>
      </c>
    </row>
    <row r="7" spans="1:28" ht="14.25">
      <c r="A7" s="148"/>
      <c r="B7" s="165">
        <v>1</v>
      </c>
      <c r="C7" s="166">
        <v>6542</v>
      </c>
      <c r="D7" s="167" t="e">
        <f t="shared" ref="D7:D14" si="0">IF(ISBLANK(C7),"",VLOOKUP(C7,各艇データ,2,FALSE))</f>
        <v>#N/A</v>
      </c>
      <c r="E7" s="265" t="e">
        <f t="shared" ref="E7:E14" si="1">IF($I$6="Ⅰ",S7,IF($I$6="Ⅱ",T7,IF($I$6="Ⅲ",U7,"")))</f>
        <v>#N/A</v>
      </c>
      <c r="F7" s="168">
        <v>1</v>
      </c>
      <c r="G7" s="169">
        <v>0.33364583333333336</v>
      </c>
      <c r="H7" s="166"/>
      <c r="I7" s="170"/>
      <c r="J7" s="168"/>
      <c r="K7" s="171"/>
      <c r="L7" s="169"/>
      <c r="M7" s="172"/>
      <c r="N7" s="173"/>
      <c r="O7" s="174"/>
      <c r="P7" s="411" t="s">
        <v>384</v>
      </c>
      <c r="Q7" s="175"/>
      <c r="R7" s="228"/>
      <c r="S7" s="244" t="e">
        <f t="shared" ref="S7:S31" si="2">IF(ISBLANK(C7),"",VLOOKUP(C7,各艇データ,3,FALSE))</f>
        <v>#N/A</v>
      </c>
      <c r="T7" s="245" t="e">
        <f t="shared" ref="T7:T31" si="3">IF(ISBLANK(C7),"",VLOOKUP(C7,各艇データ,4,FALSE))</f>
        <v>#N/A</v>
      </c>
      <c r="U7" s="246" t="e">
        <f t="shared" ref="U7:U31" si="4">IF(ISBLANK(C7),"",VLOOKUP(C7,各艇データ,5,FALSE))</f>
        <v>#N/A</v>
      </c>
      <c r="V7" s="247" t="e">
        <f t="shared" ref="V7:V31" si="5">IF(ISBLANK(C7),"",VLOOKUP(C7,各艇データ,6,FALSE))</f>
        <v>#N/A</v>
      </c>
      <c r="W7" s="248" t="e">
        <f t="shared" ref="W7:W31" si="6">IF(ISBLANK(C7),"",VLOOKUP(C7,各艇データ,7,FALSE))</f>
        <v>#N/A</v>
      </c>
      <c r="X7" s="249" t="e">
        <f t="shared" ref="X7:X31" si="7">IF(ISBLANK(C7),"",VLOOKUP(C7,各艇データ,8,FALSE))</f>
        <v>#N/A</v>
      </c>
      <c r="Y7" s="236"/>
      <c r="Z7" s="250" t="str">
        <f>IF(ISBLANK(B7),"",IFERROR(20*($P$3+1-$B7)/$P$3,"20.0"))</f>
        <v>20.0</v>
      </c>
      <c r="AA7" s="243" t="str">
        <f>IF(ISBLANK(B7),"",IFERROR(30*($P$3+1-$B7)/$P$3,"30.0"))</f>
        <v>30.0</v>
      </c>
      <c r="AB7" s="251">
        <f>IF(ISBLANK(B7),"",IFERROR(30*($P$3-$B7)/($P$3-1)+10,"20.0"))</f>
        <v>40</v>
      </c>
    </row>
    <row r="8" spans="1:28" ht="14.25">
      <c r="A8" s="148"/>
      <c r="B8" s="176">
        <v>2</v>
      </c>
      <c r="C8" s="177">
        <v>360</v>
      </c>
      <c r="D8" s="178" t="str">
        <f t="shared" si="0"/>
        <v>SPIRIT OF TOKYO</v>
      </c>
      <c r="E8" s="266">
        <f t="shared" si="1"/>
        <v>7.93</v>
      </c>
      <c r="F8" s="179">
        <v>2</v>
      </c>
      <c r="G8" s="180">
        <v>0.36744212962962958</v>
      </c>
      <c r="H8" s="177"/>
      <c r="I8" s="181"/>
      <c r="J8" s="179"/>
      <c r="K8" s="182"/>
      <c r="L8" s="180"/>
      <c r="M8" s="183"/>
      <c r="N8" s="184"/>
      <c r="O8" s="185"/>
      <c r="P8" s="186" t="s">
        <v>384</v>
      </c>
      <c r="Q8" s="187"/>
      <c r="R8" s="228"/>
      <c r="S8" s="244">
        <f t="shared" si="2"/>
        <v>7.93</v>
      </c>
      <c r="T8" s="245">
        <f t="shared" si="3"/>
        <v>8</v>
      </c>
      <c r="U8" s="246">
        <f t="shared" si="4"/>
        <v>7.95</v>
      </c>
      <c r="V8" s="247">
        <f t="shared" si="5"/>
        <v>979.7</v>
      </c>
      <c r="W8" s="248">
        <f t="shared" si="6"/>
        <v>606.20000000000005</v>
      </c>
      <c r="X8" s="249">
        <f t="shared" si="7"/>
        <v>538.79999999999995</v>
      </c>
      <c r="Y8" s="236"/>
      <c r="Z8" s="250" t="str">
        <f t="shared" ref="Z8:Z31" si="8">IF(ISBLANK(B8),"",IFERROR(20*($P$3+1-$B8)/$P$3,"20.0"))</f>
        <v>20.0</v>
      </c>
      <c r="AA8" s="243" t="str">
        <f t="shared" ref="AA8:AA31" si="9">IF(ISBLANK(B8),"",IFERROR(30*($P$3+1-$B8)/$P$3,"30.0"))</f>
        <v>30.0</v>
      </c>
      <c r="AB8" s="251">
        <f t="shared" ref="AB8:AB31" si="10">IF(ISBLANK(B8),"",IFERROR(30*($P$3-$B8)/($P$3-1)+10,"20.0"))</f>
        <v>70</v>
      </c>
    </row>
    <row r="9" spans="1:28" ht="14.25">
      <c r="A9" s="148"/>
      <c r="B9" s="176">
        <v>3</v>
      </c>
      <c r="C9" s="177">
        <v>312</v>
      </c>
      <c r="D9" s="178" t="str">
        <f t="shared" si="0"/>
        <v>はやとり</v>
      </c>
      <c r="E9" s="266">
        <f t="shared" si="1"/>
        <v>8.11</v>
      </c>
      <c r="F9" s="179">
        <v>3</v>
      </c>
      <c r="G9" s="180">
        <v>0.36969907407407404</v>
      </c>
      <c r="H9" s="177"/>
      <c r="I9" s="181"/>
      <c r="J9" s="179"/>
      <c r="K9" s="182"/>
      <c r="L9" s="180"/>
      <c r="M9" s="183"/>
      <c r="N9" s="184"/>
      <c r="O9" s="185"/>
      <c r="P9" s="186" t="s">
        <v>384</v>
      </c>
      <c r="Q9" s="187"/>
      <c r="R9" s="228"/>
      <c r="S9" s="244">
        <f t="shared" si="2"/>
        <v>8.11</v>
      </c>
      <c r="T9" s="245">
        <f t="shared" si="3"/>
        <v>8.09</v>
      </c>
      <c r="U9" s="246">
        <f t="shared" si="4"/>
        <v>8.07</v>
      </c>
      <c r="V9" s="247">
        <f t="shared" si="5"/>
        <v>972.4</v>
      </c>
      <c r="W9" s="248">
        <f t="shared" si="6"/>
        <v>603.70000000000005</v>
      </c>
      <c r="X9" s="249">
        <f t="shared" si="7"/>
        <v>535.70000000000005</v>
      </c>
      <c r="Y9" s="236"/>
      <c r="Z9" s="250" t="str">
        <f t="shared" si="8"/>
        <v>20.0</v>
      </c>
      <c r="AA9" s="243" t="str">
        <f t="shared" si="9"/>
        <v>30.0</v>
      </c>
      <c r="AB9" s="251">
        <f t="shared" si="10"/>
        <v>100</v>
      </c>
    </row>
    <row r="10" spans="1:28" ht="14.25">
      <c r="A10" s="148"/>
      <c r="B10" s="176">
        <v>4</v>
      </c>
      <c r="C10" s="177">
        <v>346</v>
      </c>
      <c r="D10" s="178" t="str">
        <f t="shared" si="0"/>
        <v>飛車角</v>
      </c>
      <c r="E10" s="266">
        <f t="shared" si="1"/>
        <v>8.4</v>
      </c>
      <c r="F10" s="179">
        <v>4</v>
      </c>
      <c r="G10" s="180">
        <v>0.3732638888888889</v>
      </c>
      <c r="H10" s="177"/>
      <c r="I10" s="181"/>
      <c r="J10" s="179"/>
      <c r="K10" s="182"/>
      <c r="L10" s="180"/>
      <c r="M10" s="183"/>
      <c r="N10" s="184"/>
      <c r="O10" s="185"/>
      <c r="P10" s="412" t="s">
        <v>384</v>
      </c>
      <c r="Q10" s="187"/>
      <c r="R10" s="228"/>
      <c r="S10" s="244">
        <f t="shared" si="2"/>
        <v>8.4</v>
      </c>
      <c r="T10" s="245">
        <f t="shared" si="3"/>
        <v>8.58</v>
      </c>
      <c r="U10" s="246">
        <f t="shared" si="4"/>
        <v>8.68</v>
      </c>
      <c r="V10" s="247">
        <f t="shared" si="5"/>
        <v>960.8</v>
      </c>
      <c r="W10" s="248">
        <f t="shared" si="6"/>
        <v>591.5</v>
      </c>
      <c r="X10" s="249">
        <f t="shared" si="7"/>
        <v>519.79999999999995</v>
      </c>
      <c r="Y10" s="236"/>
      <c r="Z10" s="250" t="str">
        <f t="shared" si="8"/>
        <v>20.0</v>
      </c>
      <c r="AA10" s="243" t="str">
        <f t="shared" si="9"/>
        <v>30.0</v>
      </c>
      <c r="AB10" s="251">
        <f t="shared" si="10"/>
        <v>130</v>
      </c>
    </row>
    <row r="11" spans="1:28" ht="14.25">
      <c r="A11" s="148"/>
      <c r="B11" s="188">
        <v>5</v>
      </c>
      <c r="C11" s="189">
        <v>199</v>
      </c>
      <c r="D11" s="190" t="str">
        <f t="shared" si="0"/>
        <v>サ－モン4</v>
      </c>
      <c r="E11" s="267">
        <f t="shared" si="1"/>
        <v>8.99</v>
      </c>
      <c r="F11" s="191">
        <v>5</v>
      </c>
      <c r="G11" s="192">
        <v>0.37997685185185182</v>
      </c>
      <c r="H11" s="193"/>
      <c r="I11" s="194"/>
      <c r="J11" s="195"/>
      <c r="K11" s="196"/>
      <c r="L11" s="197"/>
      <c r="M11" s="198"/>
      <c r="N11" s="199"/>
      <c r="O11" s="200"/>
      <c r="P11" s="201" t="s">
        <v>384</v>
      </c>
      <c r="Q11" s="202"/>
      <c r="R11" s="228"/>
      <c r="S11" s="244">
        <f t="shared" si="2"/>
        <v>8.99</v>
      </c>
      <c r="T11" s="245">
        <f t="shared" si="3"/>
        <v>9.15</v>
      </c>
      <c r="U11" s="246">
        <f t="shared" si="4"/>
        <v>9.1</v>
      </c>
      <c r="V11" s="247">
        <f t="shared" si="5"/>
        <v>939</v>
      </c>
      <c r="W11" s="248">
        <f t="shared" si="6"/>
        <v>578.20000000000005</v>
      </c>
      <c r="X11" s="249">
        <f t="shared" si="7"/>
        <v>509.9</v>
      </c>
      <c r="Y11" s="236"/>
      <c r="Z11" s="250" t="str">
        <f t="shared" si="8"/>
        <v>20.0</v>
      </c>
      <c r="AA11" s="243" t="str">
        <f t="shared" si="9"/>
        <v>30.0</v>
      </c>
      <c r="AB11" s="251">
        <f t="shared" si="10"/>
        <v>160</v>
      </c>
    </row>
    <row r="12" spans="1:28" ht="14.25">
      <c r="A12" s="148"/>
      <c r="B12" s="165">
        <v>6</v>
      </c>
      <c r="C12" s="166">
        <v>6732</v>
      </c>
      <c r="D12" s="167" t="str">
        <f t="shared" si="0"/>
        <v>アイデアル</v>
      </c>
      <c r="E12" s="265">
        <f t="shared" si="1"/>
        <v>9.59</v>
      </c>
      <c r="F12" s="168">
        <v>6</v>
      </c>
      <c r="G12" s="169">
        <v>0.38631944444444444</v>
      </c>
      <c r="H12" s="166"/>
      <c r="I12" s="170"/>
      <c r="J12" s="168"/>
      <c r="K12" s="171"/>
      <c r="L12" s="169"/>
      <c r="M12" s="172"/>
      <c r="N12" s="173"/>
      <c r="O12" s="174"/>
      <c r="P12" s="413" t="s">
        <v>384</v>
      </c>
      <c r="Q12" s="175"/>
      <c r="R12" s="228"/>
      <c r="S12" s="244">
        <f t="shared" si="2"/>
        <v>9.59</v>
      </c>
      <c r="T12" s="245">
        <f t="shared" si="3"/>
        <v>9.1300000000000008</v>
      </c>
      <c r="U12" s="246">
        <f t="shared" si="4"/>
        <v>8.76</v>
      </c>
      <c r="V12" s="247">
        <f t="shared" si="5"/>
        <v>918.4</v>
      </c>
      <c r="W12" s="248">
        <f t="shared" si="6"/>
        <v>578.79999999999995</v>
      </c>
      <c r="X12" s="249">
        <f t="shared" si="7"/>
        <v>518</v>
      </c>
      <c r="Y12" s="236"/>
      <c r="Z12" s="250" t="str">
        <f t="shared" si="8"/>
        <v>20.0</v>
      </c>
      <c r="AA12" s="243" t="str">
        <f t="shared" si="9"/>
        <v>30.0</v>
      </c>
      <c r="AB12" s="251">
        <f t="shared" si="10"/>
        <v>190</v>
      </c>
    </row>
    <row r="13" spans="1:28" ht="14.25">
      <c r="A13" s="148"/>
      <c r="B13" s="176">
        <v>7</v>
      </c>
      <c r="C13" s="177">
        <v>1733</v>
      </c>
      <c r="D13" s="178" t="str">
        <f t="shared" si="0"/>
        <v>ケロニア</v>
      </c>
      <c r="E13" s="266">
        <f t="shared" si="1"/>
        <v>9.67</v>
      </c>
      <c r="F13" s="179">
        <v>7</v>
      </c>
      <c r="G13" s="180">
        <v>0.38715277777777773</v>
      </c>
      <c r="H13" s="177"/>
      <c r="I13" s="181"/>
      <c r="J13" s="179"/>
      <c r="K13" s="182"/>
      <c r="L13" s="180"/>
      <c r="M13" s="183"/>
      <c r="N13" s="184"/>
      <c r="O13" s="185"/>
      <c r="P13" s="186" t="s">
        <v>384</v>
      </c>
      <c r="Q13" s="187"/>
      <c r="R13" s="228"/>
      <c r="S13" s="244">
        <f t="shared" si="2"/>
        <v>9.67</v>
      </c>
      <c r="T13" s="245">
        <f t="shared" si="3"/>
        <v>9.57</v>
      </c>
      <c r="U13" s="246">
        <f t="shared" si="4"/>
        <v>9.4</v>
      </c>
      <c r="V13" s="247">
        <f t="shared" si="5"/>
        <v>915.7</v>
      </c>
      <c r="W13" s="248">
        <f t="shared" si="6"/>
        <v>569.29999999999995</v>
      </c>
      <c r="X13" s="249">
        <f t="shared" si="7"/>
        <v>503.2</v>
      </c>
      <c r="Y13" s="236"/>
      <c r="Z13" s="250" t="str">
        <f t="shared" si="8"/>
        <v>20.0</v>
      </c>
      <c r="AA13" s="243" t="str">
        <f t="shared" si="9"/>
        <v>30.0</v>
      </c>
      <c r="AB13" s="251">
        <f t="shared" si="10"/>
        <v>220</v>
      </c>
    </row>
    <row r="14" spans="1:28" ht="14.25">
      <c r="A14" s="148"/>
      <c r="B14" s="176">
        <v>8</v>
      </c>
      <c r="C14" s="177">
        <v>5752</v>
      </c>
      <c r="D14" s="178" t="str">
        <f t="shared" si="0"/>
        <v>アルファ</v>
      </c>
      <c r="E14" s="266">
        <f t="shared" si="1"/>
        <v>10.43</v>
      </c>
      <c r="F14" s="179">
        <v>8</v>
      </c>
      <c r="G14" s="180">
        <v>0.39423611111111106</v>
      </c>
      <c r="H14" s="177"/>
      <c r="I14" s="181"/>
      <c r="J14" s="179"/>
      <c r="K14" s="182"/>
      <c r="L14" s="180"/>
      <c r="M14" s="183"/>
      <c r="N14" s="184"/>
      <c r="O14" s="185"/>
      <c r="P14" s="186" t="s">
        <v>384</v>
      </c>
      <c r="Q14" s="187"/>
      <c r="R14" s="228"/>
      <c r="S14" s="244">
        <f t="shared" si="2"/>
        <v>10.43</v>
      </c>
      <c r="T14" s="245">
        <f t="shared" si="3"/>
        <v>10.18</v>
      </c>
      <c r="U14" s="246">
        <f t="shared" si="4"/>
        <v>9.92</v>
      </c>
      <c r="V14" s="247">
        <f t="shared" si="5"/>
        <v>892.7</v>
      </c>
      <c r="W14" s="248">
        <f t="shared" si="6"/>
        <v>557</v>
      </c>
      <c r="X14" s="249">
        <f t="shared" si="7"/>
        <v>492.1</v>
      </c>
      <c r="Y14" s="236"/>
      <c r="Z14" s="250" t="str">
        <f t="shared" si="8"/>
        <v>20.0</v>
      </c>
      <c r="AA14" s="243" t="str">
        <f t="shared" si="9"/>
        <v>30.0</v>
      </c>
      <c r="AB14" s="251">
        <f t="shared" si="10"/>
        <v>250</v>
      </c>
    </row>
    <row r="15" spans="1:28" ht="14.25">
      <c r="A15" s="148"/>
      <c r="B15" s="176"/>
      <c r="C15" s="177"/>
      <c r="D15" s="178"/>
      <c r="E15" s="266"/>
      <c r="F15" s="179"/>
      <c r="G15" s="180"/>
      <c r="H15" s="177" t="str">
        <f>IFERROR(IF(G15-$Q$2&lt;=0,"",(G15-$Q$2)*86400),"")</f>
        <v/>
      </c>
      <c r="I15" s="181"/>
      <c r="J15" s="179"/>
      <c r="K15" s="182"/>
      <c r="L15" s="180"/>
      <c r="M15" s="183"/>
      <c r="N15" s="184"/>
      <c r="O15" s="185"/>
      <c r="P15" s="219"/>
      <c r="Q15" s="187"/>
      <c r="R15" s="228"/>
      <c r="S15" s="244" t="str">
        <f t="shared" si="2"/>
        <v/>
      </c>
      <c r="T15" s="245" t="str">
        <f t="shared" si="3"/>
        <v/>
      </c>
      <c r="U15" s="246" t="str">
        <f t="shared" si="4"/>
        <v/>
      </c>
      <c r="V15" s="247" t="str">
        <f t="shared" si="5"/>
        <v/>
      </c>
      <c r="W15" s="248" t="str">
        <f t="shared" si="6"/>
        <v/>
      </c>
      <c r="X15" s="249" t="str">
        <f t="shared" si="7"/>
        <v/>
      </c>
      <c r="Y15" s="236"/>
      <c r="Z15" s="250" t="str">
        <f t="shared" si="8"/>
        <v/>
      </c>
      <c r="AA15" s="243" t="str">
        <f t="shared" si="9"/>
        <v/>
      </c>
      <c r="AB15" s="251" t="str">
        <f t="shared" si="10"/>
        <v/>
      </c>
    </row>
    <row r="16" spans="1:28" ht="14.25">
      <c r="A16" s="148"/>
      <c r="B16" s="188"/>
      <c r="C16" s="189"/>
      <c r="D16" s="190"/>
      <c r="E16" s="267"/>
      <c r="F16" s="191"/>
      <c r="G16" s="192"/>
      <c r="H16" s="189" t="str">
        <f>IFERROR(IF(G16-$Q$2&lt;=0,"",(G16-$Q$2)*86400),"")</f>
        <v/>
      </c>
      <c r="I16" s="203"/>
      <c r="J16" s="191"/>
      <c r="K16" s="205"/>
      <c r="L16" s="192"/>
      <c r="M16" s="206"/>
      <c r="N16" s="207"/>
      <c r="O16" s="208"/>
      <c r="P16" s="260"/>
      <c r="Q16" s="202"/>
      <c r="R16" s="228"/>
      <c r="S16" s="244" t="str">
        <f t="shared" si="2"/>
        <v/>
      </c>
      <c r="T16" s="245" t="str">
        <f t="shared" si="3"/>
        <v/>
      </c>
      <c r="U16" s="246" t="str">
        <f t="shared" si="4"/>
        <v/>
      </c>
      <c r="V16" s="247" t="str">
        <f t="shared" si="5"/>
        <v/>
      </c>
      <c r="W16" s="248" t="str">
        <f t="shared" si="6"/>
        <v/>
      </c>
      <c r="X16" s="249" t="str">
        <f t="shared" si="7"/>
        <v/>
      </c>
      <c r="Y16" s="236"/>
      <c r="Z16" s="250" t="str">
        <f t="shared" si="8"/>
        <v/>
      </c>
      <c r="AA16" s="243" t="str">
        <f t="shared" si="9"/>
        <v/>
      </c>
      <c r="AB16" s="251" t="str">
        <f t="shared" si="10"/>
        <v/>
      </c>
    </row>
    <row r="17" spans="1:28" ht="14.25">
      <c r="A17" s="148"/>
      <c r="B17" s="165"/>
      <c r="C17" s="166"/>
      <c r="D17" s="167"/>
      <c r="E17" s="265"/>
      <c r="F17" s="168"/>
      <c r="G17" s="169"/>
      <c r="H17" s="209"/>
      <c r="I17" s="210"/>
      <c r="J17" s="211"/>
      <c r="K17" s="212"/>
      <c r="L17" s="213"/>
      <c r="M17" s="214"/>
      <c r="N17" s="215"/>
      <c r="O17" s="174"/>
      <c r="P17" s="264"/>
      <c r="Q17" s="175"/>
      <c r="R17" s="228"/>
      <c r="S17" s="244" t="str">
        <f t="shared" si="2"/>
        <v/>
      </c>
      <c r="T17" s="245" t="str">
        <f t="shared" si="3"/>
        <v/>
      </c>
      <c r="U17" s="246" t="str">
        <f t="shared" si="4"/>
        <v/>
      </c>
      <c r="V17" s="247" t="str">
        <f t="shared" si="5"/>
        <v/>
      </c>
      <c r="W17" s="248" t="str">
        <f t="shared" si="6"/>
        <v/>
      </c>
      <c r="X17" s="249" t="str">
        <f t="shared" si="7"/>
        <v/>
      </c>
      <c r="Y17" s="236"/>
      <c r="Z17" s="250" t="str">
        <f t="shared" si="8"/>
        <v/>
      </c>
      <c r="AA17" s="243" t="str">
        <f t="shared" si="9"/>
        <v/>
      </c>
      <c r="AB17" s="251" t="str">
        <f t="shared" si="10"/>
        <v/>
      </c>
    </row>
    <row r="18" spans="1:28" ht="14.25">
      <c r="A18" s="148"/>
      <c r="B18" s="176"/>
      <c r="C18" s="177"/>
      <c r="D18" s="178"/>
      <c r="E18" s="266"/>
      <c r="F18" s="179"/>
      <c r="G18" s="180"/>
      <c r="H18" s="177"/>
      <c r="I18" s="181"/>
      <c r="J18" s="259"/>
      <c r="K18" s="182"/>
      <c r="L18" s="180"/>
      <c r="M18" s="183"/>
      <c r="N18" s="184"/>
      <c r="O18" s="185"/>
      <c r="P18" s="219"/>
      <c r="Q18" s="187"/>
      <c r="R18" s="228"/>
      <c r="S18" s="244" t="str">
        <f t="shared" si="2"/>
        <v/>
      </c>
      <c r="T18" s="245" t="str">
        <f t="shared" si="3"/>
        <v/>
      </c>
      <c r="U18" s="246" t="str">
        <f t="shared" si="4"/>
        <v/>
      </c>
      <c r="V18" s="247" t="str">
        <f t="shared" si="5"/>
        <v/>
      </c>
      <c r="W18" s="248" t="str">
        <f t="shared" si="6"/>
        <v/>
      </c>
      <c r="X18" s="249" t="str">
        <f t="shared" si="7"/>
        <v/>
      </c>
      <c r="Y18" s="236"/>
      <c r="Z18" s="250" t="str">
        <f t="shared" si="8"/>
        <v/>
      </c>
      <c r="AA18" s="243" t="str">
        <f t="shared" si="9"/>
        <v/>
      </c>
      <c r="AB18" s="251" t="str">
        <f t="shared" si="10"/>
        <v/>
      </c>
    </row>
    <row r="19" spans="1:28" ht="14.25">
      <c r="A19" s="148"/>
      <c r="B19" s="176"/>
      <c r="C19" s="177"/>
      <c r="D19" s="178"/>
      <c r="E19" s="266"/>
      <c r="F19" s="179"/>
      <c r="G19" s="180"/>
      <c r="H19" s="177"/>
      <c r="I19" s="181"/>
      <c r="J19" s="259"/>
      <c r="K19" s="182"/>
      <c r="L19" s="180"/>
      <c r="M19" s="183"/>
      <c r="N19" s="184"/>
      <c r="O19" s="185"/>
      <c r="P19" s="219"/>
      <c r="Q19" s="187"/>
      <c r="R19" s="228"/>
      <c r="S19" s="244" t="str">
        <f t="shared" si="2"/>
        <v/>
      </c>
      <c r="T19" s="245" t="str">
        <f t="shared" si="3"/>
        <v/>
      </c>
      <c r="U19" s="246" t="str">
        <f t="shared" si="4"/>
        <v/>
      </c>
      <c r="V19" s="247" t="str">
        <f t="shared" si="5"/>
        <v/>
      </c>
      <c r="W19" s="248" t="str">
        <f t="shared" si="6"/>
        <v/>
      </c>
      <c r="X19" s="249" t="str">
        <f t="shared" si="7"/>
        <v/>
      </c>
      <c r="Y19" s="236"/>
      <c r="Z19" s="250" t="str">
        <f t="shared" si="8"/>
        <v/>
      </c>
      <c r="AA19" s="243" t="str">
        <f t="shared" si="9"/>
        <v/>
      </c>
      <c r="AB19" s="251" t="str">
        <f t="shared" si="10"/>
        <v/>
      </c>
    </row>
    <row r="20" spans="1:28" ht="14.25">
      <c r="A20" s="148"/>
      <c r="B20" s="176"/>
      <c r="C20" s="177"/>
      <c r="D20" s="178"/>
      <c r="E20" s="266"/>
      <c r="F20" s="179"/>
      <c r="G20" s="180"/>
      <c r="H20" s="177"/>
      <c r="I20" s="181"/>
      <c r="J20" s="259"/>
      <c r="K20" s="182"/>
      <c r="L20" s="180"/>
      <c r="M20" s="183"/>
      <c r="N20" s="184"/>
      <c r="O20" s="185"/>
      <c r="P20" s="264"/>
      <c r="Q20" s="187"/>
      <c r="R20" s="228"/>
      <c r="S20" s="244" t="str">
        <f t="shared" si="2"/>
        <v/>
      </c>
      <c r="T20" s="245" t="str">
        <f t="shared" si="3"/>
        <v/>
      </c>
      <c r="U20" s="246" t="str">
        <f t="shared" si="4"/>
        <v/>
      </c>
      <c r="V20" s="247" t="str">
        <f t="shared" si="5"/>
        <v/>
      </c>
      <c r="W20" s="248" t="str">
        <f t="shared" si="6"/>
        <v/>
      </c>
      <c r="X20" s="249" t="str">
        <f t="shared" si="7"/>
        <v/>
      </c>
      <c r="Y20" s="236"/>
      <c r="Z20" s="250" t="str">
        <f t="shared" si="8"/>
        <v/>
      </c>
      <c r="AA20" s="243" t="str">
        <f t="shared" si="9"/>
        <v/>
      </c>
      <c r="AB20" s="251" t="str">
        <f t="shared" si="10"/>
        <v/>
      </c>
    </row>
    <row r="21" spans="1:28" ht="14.25">
      <c r="A21" s="148"/>
      <c r="B21" s="188"/>
      <c r="C21" s="189"/>
      <c r="D21" s="190"/>
      <c r="E21" s="267"/>
      <c r="F21" s="191"/>
      <c r="G21" s="192"/>
      <c r="H21" s="189"/>
      <c r="I21" s="203"/>
      <c r="J21" s="204"/>
      <c r="K21" s="205"/>
      <c r="L21" s="192"/>
      <c r="M21" s="206"/>
      <c r="N21" s="207"/>
      <c r="O21" s="208"/>
      <c r="P21" s="260"/>
      <c r="Q21" s="202"/>
      <c r="R21" s="228"/>
      <c r="S21" s="244" t="str">
        <f t="shared" si="2"/>
        <v/>
      </c>
      <c r="T21" s="245" t="str">
        <f t="shared" si="3"/>
        <v/>
      </c>
      <c r="U21" s="246" t="str">
        <f t="shared" si="4"/>
        <v/>
      </c>
      <c r="V21" s="247" t="str">
        <f t="shared" si="5"/>
        <v/>
      </c>
      <c r="W21" s="248" t="str">
        <f t="shared" si="6"/>
        <v/>
      </c>
      <c r="X21" s="249" t="str">
        <f t="shared" si="7"/>
        <v/>
      </c>
      <c r="Y21" s="236"/>
      <c r="Z21" s="250" t="str">
        <f t="shared" si="8"/>
        <v/>
      </c>
      <c r="AA21" s="243" t="str">
        <f t="shared" si="9"/>
        <v/>
      </c>
      <c r="AB21" s="251" t="str">
        <f t="shared" si="10"/>
        <v/>
      </c>
    </row>
    <row r="22" spans="1:28" ht="14.25">
      <c r="A22" s="148"/>
      <c r="B22" s="217"/>
      <c r="C22" s="268"/>
      <c r="D22" s="222"/>
      <c r="E22" s="211"/>
      <c r="F22" s="211"/>
      <c r="G22" s="213"/>
      <c r="H22" s="209"/>
      <c r="I22" s="210"/>
      <c r="J22" s="211"/>
      <c r="K22" s="212"/>
      <c r="L22" s="213"/>
      <c r="M22" s="214"/>
      <c r="N22" s="215"/>
      <c r="O22" s="216"/>
      <c r="P22" s="269"/>
      <c r="Q22" s="218"/>
      <c r="R22" s="228"/>
      <c r="S22" s="244" t="str">
        <f t="shared" si="2"/>
        <v/>
      </c>
      <c r="T22" s="245" t="str">
        <f t="shared" si="3"/>
        <v/>
      </c>
      <c r="U22" s="246" t="str">
        <f t="shared" si="4"/>
        <v/>
      </c>
      <c r="V22" s="247" t="str">
        <f t="shared" si="5"/>
        <v/>
      </c>
      <c r="W22" s="248" t="str">
        <f t="shared" si="6"/>
        <v/>
      </c>
      <c r="X22" s="249" t="str">
        <f t="shared" si="7"/>
        <v/>
      </c>
      <c r="Y22" s="236"/>
      <c r="Z22" s="250" t="str">
        <f t="shared" si="8"/>
        <v/>
      </c>
      <c r="AA22" s="243" t="str">
        <f t="shared" si="9"/>
        <v/>
      </c>
      <c r="AB22" s="251" t="str">
        <f t="shared" si="10"/>
        <v/>
      </c>
    </row>
    <row r="23" spans="1:28" ht="14.25">
      <c r="A23" s="148"/>
      <c r="B23" s="176"/>
      <c r="C23" s="177"/>
      <c r="D23" s="178" t="str">
        <f>IF(ISBLANK(C23),"",VLOOKUP(C23,各艇データ,2,FALSE))</f>
        <v/>
      </c>
      <c r="E23" s="179"/>
      <c r="F23" s="179"/>
      <c r="G23" s="180"/>
      <c r="H23" s="177"/>
      <c r="I23" s="181"/>
      <c r="J23" s="179"/>
      <c r="K23" s="182"/>
      <c r="L23" s="180"/>
      <c r="M23" s="183"/>
      <c r="N23" s="184"/>
      <c r="O23" s="185"/>
      <c r="P23" s="219"/>
      <c r="Q23" s="187"/>
      <c r="R23" s="228"/>
      <c r="S23" s="244" t="str">
        <f t="shared" si="2"/>
        <v/>
      </c>
      <c r="T23" s="245" t="str">
        <f t="shared" si="3"/>
        <v/>
      </c>
      <c r="U23" s="246" t="str">
        <f t="shared" si="4"/>
        <v/>
      </c>
      <c r="V23" s="247" t="str">
        <f t="shared" si="5"/>
        <v/>
      </c>
      <c r="W23" s="248" t="str">
        <f t="shared" si="6"/>
        <v/>
      </c>
      <c r="X23" s="249" t="str">
        <f t="shared" si="7"/>
        <v/>
      </c>
      <c r="Y23" s="236"/>
      <c r="Z23" s="250" t="str">
        <f t="shared" si="8"/>
        <v/>
      </c>
      <c r="AA23" s="243" t="str">
        <f t="shared" si="9"/>
        <v/>
      </c>
      <c r="AB23" s="251" t="str">
        <f t="shared" si="10"/>
        <v/>
      </c>
    </row>
    <row r="24" spans="1:28" ht="14.25">
      <c r="A24" s="148"/>
      <c r="B24" s="217"/>
      <c r="C24" s="177"/>
      <c r="D24" s="222"/>
      <c r="E24" s="179"/>
      <c r="F24" s="179"/>
      <c r="G24" s="180"/>
      <c r="H24" s="177"/>
      <c r="I24" s="181"/>
      <c r="J24" s="179"/>
      <c r="K24" s="182"/>
      <c r="L24" s="180"/>
      <c r="M24" s="183"/>
      <c r="N24" s="184"/>
      <c r="O24" s="185"/>
      <c r="P24" s="220"/>
      <c r="Q24" s="187"/>
      <c r="R24" s="228"/>
      <c r="S24" s="244" t="str">
        <f t="shared" si="2"/>
        <v/>
      </c>
      <c r="T24" s="245" t="str">
        <f t="shared" si="3"/>
        <v/>
      </c>
      <c r="U24" s="246" t="str">
        <f t="shared" si="4"/>
        <v/>
      </c>
      <c r="V24" s="247" t="str">
        <f t="shared" si="5"/>
        <v/>
      </c>
      <c r="W24" s="248" t="str">
        <f t="shared" si="6"/>
        <v/>
      </c>
      <c r="X24" s="249" t="str">
        <f t="shared" si="7"/>
        <v/>
      </c>
      <c r="Y24" s="236"/>
      <c r="Z24" s="250" t="str">
        <f t="shared" si="8"/>
        <v/>
      </c>
      <c r="AA24" s="243" t="str">
        <f t="shared" si="9"/>
        <v/>
      </c>
      <c r="AB24" s="251" t="str">
        <f t="shared" si="10"/>
        <v/>
      </c>
    </row>
    <row r="25" spans="1:28" ht="14.25">
      <c r="A25" s="148"/>
      <c r="B25" s="176"/>
      <c r="C25" s="177"/>
      <c r="D25" s="178" t="str">
        <f t="shared" ref="D25:D31" si="11">IF(ISBLANK(C25),"",VLOOKUP(C25,各艇データ,2,FALSE))</f>
        <v/>
      </c>
      <c r="E25" s="179"/>
      <c r="F25" s="179"/>
      <c r="G25" s="180"/>
      <c r="H25" s="177"/>
      <c r="I25" s="181"/>
      <c r="J25" s="179"/>
      <c r="K25" s="182"/>
      <c r="L25" s="180"/>
      <c r="M25" s="183"/>
      <c r="N25" s="184"/>
      <c r="O25" s="185"/>
      <c r="P25" s="220"/>
      <c r="Q25" s="187"/>
      <c r="R25" s="228"/>
      <c r="S25" s="244" t="str">
        <f t="shared" si="2"/>
        <v/>
      </c>
      <c r="T25" s="245" t="str">
        <f t="shared" si="3"/>
        <v/>
      </c>
      <c r="U25" s="246" t="str">
        <f t="shared" si="4"/>
        <v/>
      </c>
      <c r="V25" s="247" t="str">
        <f t="shared" si="5"/>
        <v/>
      </c>
      <c r="W25" s="248" t="str">
        <f t="shared" si="6"/>
        <v/>
      </c>
      <c r="X25" s="249" t="str">
        <f t="shared" si="7"/>
        <v/>
      </c>
      <c r="Y25" s="236"/>
      <c r="Z25" s="250" t="str">
        <f t="shared" si="8"/>
        <v/>
      </c>
      <c r="AA25" s="243" t="str">
        <f t="shared" si="9"/>
        <v/>
      </c>
      <c r="AB25" s="251" t="str">
        <f t="shared" si="10"/>
        <v/>
      </c>
    </row>
    <row r="26" spans="1:28" ht="14.25">
      <c r="A26" s="148"/>
      <c r="B26" s="188"/>
      <c r="C26" s="189"/>
      <c r="D26" s="190" t="str">
        <f t="shared" si="11"/>
        <v/>
      </c>
      <c r="E26" s="191"/>
      <c r="F26" s="191"/>
      <c r="G26" s="192"/>
      <c r="H26" s="189" t="str">
        <f>IFERROR(IF(G26-$Q$2&lt;=0,"",(G26-$Q$2)*86400),"")</f>
        <v/>
      </c>
      <c r="I26" s="203" t="str">
        <f>IF($I$6="Ⅰ",V26,IF($I$6="Ⅱ",W26,IF($I$6="Ⅲ",X26,"")))</f>
        <v/>
      </c>
      <c r="J26" s="191"/>
      <c r="K26" s="205" t="str">
        <f>IFERROR(H26*(1+0.01*J26)-I26*$N$3,"")</f>
        <v/>
      </c>
      <c r="L26" s="192" t="str">
        <f>IFERROR((K26-$K$7)/86400,"")</f>
        <v/>
      </c>
      <c r="M26" s="206" t="str">
        <f>IFERROR((K26-$K$7)/$N$3,"")</f>
        <v/>
      </c>
      <c r="N26" s="207" t="str">
        <f>IFERROR($N$3/(H26/3600),"")</f>
        <v/>
      </c>
      <c r="O26" s="208" t="str">
        <f>IF($O$6="MAX=20",Z26,IF($O$6="MAX=30",AA26,IF($O$6="MAX=40",AB26,"")))</f>
        <v/>
      </c>
      <c r="P26" s="221"/>
      <c r="Q26" s="202"/>
      <c r="R26" s="228"/>
      <c r="S26" s="244" t="str">
        <f t="shared" si="2"/>
        <v/>
      </c>
      <c r="T26" s="245" t="str">
        <f t="shared" si="3"/>
        <v/>
      </c>
      <c r="U26" s="246" t="str">
        <f t="shared" si="4"/>
        <v/>
      </c>
      <c r="V26" s="247" t="str">
        <f t="shared" si="5"/>
        <v/>
      </c>
      <c r="W26" s="248" t="str">
        <f t="shared" si="6"/>
        <v/>
      </c>
      <c r="X26" s="249" t="str">
        <f t="shared" si="7"/>
        <v/>
      </c>
      <c r="Y26" s="236"/>
      <c r="Z26" s="250" t="str">
        <f t="shared" si="8"/>
        <v/>
      </c>
      <c r="AA26" s="243" t="str">
        <f t="shared" si="9"/>
        <v/>
      </c>
      <c r="AB26" s="251" t="str">
        <f t="shared" si="10"/>
        <v/>
      </c>
    </row>
    <row r="27" spans="1:28" ht="14.25">
      <c r="A27" s="148"/>
      <c r="B27" s="217"/>
      <c r="C27" s="209"/>
      <c r="D27" s="222" t="str">
        <f t="shared" si="11"/>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228"/>
      <c r="S27" s="244" t="str">
        <f t="shared" si="2"/>
        <v/>
      </c>
      <c r="T27" s="245" t="str">
        <f t="shared" si="3"/>
        <v/>
      </c>
      <c r="U27" s="246" t="str">
        <f t="shared" si="4"/>
        <v/>
      </c>
      <c r="V27" s="247" t="str">
        <f t="shared" si="5"/>
        <v/>
      </c>
      <c r="W27" s="248" t="str">
        <f t="shared" si="6"/>
        <v/>
      </c>
      <c r="X27" s="249" t="str">
        <f t="shared" si="7"/>
        <v/>
      </c>
      <c r="Y27" s="236"/>
      <c r="Z27" s="250" t="str">
        <f t="shared" si="8"/>
        <v/>
      </c>
      <c r="AA27" s="243" t="str">
        <f t="shared" si="9"/>
        <v/>
      </c>
      <c r="AB27" s="251" t="str">
        <f t="shared" si="10"/>
        <v/>
      </c>
    </row>
    <row r="28" spans="1:28" ht="14.25" customHeight="1">
      <c r="A28" s="148"/>
      <c r="B28" s="176"/>
      <c r="C28" s="177"/>
      <c r="D28" s="178" t="str">
        <f t="shared" si="11"/>
        <v/>
      </c>
      <c r="E28" s="179"/>
      <c r="F28" s="179"/>
      <c r="G28" s="180"/>
      <c r="H28" s="177"/>
      <c r="I28" s="181"/>
      <c r="J28" s="179"/>
      <c r="K28" s="182"/>
      <c r="L28" s="180"/>
      <c r="M28" s="183"/>
      <c r="N28" s="184"/>
      <c r="O28" s="185"/>
      <c r="P28" s="224"/>
      <c r="Q28" s="187"/>
      <c r="R28" s="228"/>
      <c r="S28" s="244" t="str">
        <f t="shared" si="2"/>
        <v/>
      </c>
      <c r="T28" s="245" t="str">
        <f t="shared" si="3"/>
        <v/>
      </c>
      <c r="U28" s="246" t="str">
        <f t="shared" si="4"/>
        <v/>
      </c>
      <c r="V28" s="247" t="str">
        <f t="shared" si="5"/>
        <v/>
      </c>
      <c r="W28" s="248" t="str">
        <f t="shared" si="6"/>
        <v/>
      </c>
      <c r="X28" s="249" t="str">
        <f t="shared" si="7"/>
        <v/>
      </c>
      <c r="Y28" s="236"/>
      <c r="Z28" s="250" t="str">
        <f t="shared" si="8"/>
        <v/>
      </c>
      <c r="AA28" s="243" t="str">
        <f t="shared" si="9"/>
        <v/>
      </c>
      <c r="AB28" s="251" t="str">
        <f t="shared" si="10"/>
        <v/>
      </c>
    </row>
    <row r="29" spans="1:28" ht="14.25">
      <c r="A29" s="148"/>
      <c r="B29" s="176"/>
      <c r="C29" s="177"/>
      <c r="D29" s="178" t="str">
        <f t="shared" si="11"/>
        <v/>
      </c>
      <c r="E29" s="179"/>
      <c r="F29" s="179"/>
      <c r="G29" s="180"/>
      <c r="H29" s="177"/>
      <c r="I29" s="181"/>
      <c r="J29" s="179"/>
      <c r="K29" s="182"/>
      <c r="L29" s="180"/>
      <c r="M29" s="183"/>
      <c r="N29" s="184"/>
      <c r="O29" s="185"/>
      <c r="P29" s="220"/>
      <c r="Q29" s="187"/>
      <c r="R29" s="228"/>
      <c r="S29" s="244" t="str">
        <f t="shared" si="2"/>
        <v/>
      </c>
      <c r="T29" s="245" t="str">
        <f t="shared" si="3"/>
        <v/>
      </c>
      <c r="U29" s="246" t="str">
        <f t="shared" si="4"/>
        <v/>
      </c>
      <c r="V29" s="247" t="str">
        <f t="shared" si="5"/>
        <v/>
      </c>
      <c r="W29" s="248" t="str">
        <f t="shared" si="6"/>
        <v/>
      </c>
      <c r="X29" s="249" t="str">
        <f t="shared" si="7"/>
        <v/>
      </c>
      <c r="Y29" s="236"/>
      <c r="Z29" s="250" t="str">
        <f t="shared" si="8"/>
        <v/>
      </c>
      <c r="AA29" s="243" t="str">
        <f t="shared" si="9"/>
        <v/>
      </c>
      <c r="AB29" s="251" t="str">
        <f t="shared" si="10"/>
        <v/>
      </c>
    </row>
    <row r="30" spans="1:28" ht="14.25" customHeight="1">
      <c r="A30" s="148"/>
      <c r="B30" s="176"/>
      <c r="C30" s="177"/>
      <c r="D30" s="178" t="str">
        <f t="shared" si="11"/>
        <v/>
      </c>
      <c r="E30" s="179"/>
      <c r="F30" s="179"/>
      <c r="G30" s="180"/>
      <c r="H30" s="177"/>
      <c r="I30" s="181"/>
      <c r="J30" s="179"/>
      <c r="K30" s="182"/>
      <c r="L30" s="180"/>
      <c r="M30" s="183"/>
      <c r="N30" s="184"/>
      <c r="O30" s="185"/>
      <c r="P30" s="220"/>
      <c r="Q30" s="187"/>
      <c r="R30" s="228"/>
      <c r="S30" s="244" t="str">
        <f t="shared" si="2"/>
        <v/>
      </c>
      <c r="T30" s="245" t="str">
        <f t="shared" si="3"/>
        <v/>
      </c>
      <c r="U30" s="246" t="str">
        <f t="shared" si="4"/>
        <v/>
      </c>
      <c r="V30" s="247" t="str">
        <f t="shared" si="5"/>
        <v/>
      </c>
      <c r="W30" s="248" t="str">
        <f t="shared" si="6"/>
        <v/>
      </c>
      <c r="X30" s="249" t="str">
        <f t="shared" si="7"/>
        <v/>
      </c>
      <c r="Y30" s="236"/>
      <c r="Z30" s="250" t="str">
        <f t="shared" si="8"/>
        <v/>
      </c>
      <c r="AA30" s="243" t="str">
        <f t="shared" si="9"/>
        <v/>
      </c>
      <c r="AB30" s="251" t="str">
        <f t="shared" si="10"/>
        <v/>
      </c>
    </row>
    <row r="31" spans="1:28" ht="15" thickBot="1">
      <c r="A31" s="148"/>
      <c r="B31" s="176"/>
      <c r="C31" s="177"/>
      <c r="D31" s="190" t="str">
        <f t="shared" si="11"/>
        <v/>
      </c>
      <c r="E31" s="191"/>
      <c r="F31" s="179"/>
      <c r="G31" s="180"/>
      <c r="H31" s="189" t="str">
        <f>IFERROR(IF(G31-$Q$2&lt;=0,"",(G31-$Q$2)*86400),"")</f>
        <v/>
      </c>
      <c r="I31" s="203" t="str">
        <f>IF($I$6="Ⅰ",V31,IF($I$6="Ⅱ",W31,IF($I$6="Ⅲ",X31,"")))</f>
        <v/>
      </c>
      <c r="J31" s="191"/>
      <c r="K31" s="205" t="str">
        <f>IFERROR(H31*(1+0.01*J31)-I31*$N$3,"")</f>
        <v/>
      </c>
      <c r="L31" s="192" t="str">
        <f>IFERROR((K31-$K$7)/86400,"")</f>
        <v/>
      </c>
      <c r="M31" s="206" t="str">
        <f>IFERROR((K31-$K$7)/$N$3,"")</f>
        <v/>
      </c>
      <c r="N31" s="207" t="str">
        <f>IFERROR($N$3/(H31/3600),"")</f>
        <v/>
      </c>
      <c r="O31" s="208" t="str">
        <f>IF($O$6="MAX=20",Z31,IF($O$6="MAX=30",AA31,IF($O$6="MAX=40",AB31,"")))</f>
        <v/>
      </c>
      <c r="P31" s="221"/>
      <c r="Q31" s="202"/>
      <c r="R31" s="228"/>
      <c r="S31" s="252" t="str">
        <f t="shared" si="2"/>
        <v/>
      </c>
      <c r="T31" s="253" t="str">
        <f t="shared" si="3"/>
        <v/>
      </c>
      <c r="U31" s="254" t="str">
        <f t="shared" si="4"/>
        <v/>
      </c>
      <c r="V31" s="255" t="str">
        <f t="shared" si="5"/>
        <v/>
      </c>
      <c r="W31" s="256" t="str">
        <f t="shared" si="6"/>
        <v/>
      </c>
      <c r="X31" s="257" t="str">
        <f t="shared" si="7"/>
        <v/>
      </c>
      <c r="Y31" s="236"/>
      <c r="Z31" s="261" t="str">
        <f t="shared" si="8"/>
        <v/>
      </c>
      <c r="AA31" s="262" t="str">
        <f t="shared" si="9"/>
        <v/>
      </c>
      <c r="AB31" s="263" t="str">
        <f t="shared" si="10"/>
        <v/>
      </c>
    </row>
    <row r="32" spans="1:28" ht="15" customHeight="1">
      <c r="A32" s="148"/>
      <c r="B32" s="442" t="s">
        <v>264</v>
      </c>
      <c r="C32" s="443"/>
      <c r="D32" s="444"/>
      <c r="E32" s="225" t="s">
        <v>184</v>
      </c>
      <c r="F32" s="451" t="s">
        <v>389</v>
      </c>
      <c r="G32" s="452"/>
      <c r="H32" s="453" t="s">
        <v>392</v>
      </c>
      <c r="I32" s="454"/>
      <c r="J32" s="454"/>
      <c r="K32" s="454"/>
      <c r="L32" s="454"/>
      <c r="M32" s="454"/>
      <c r="N32" s="454"/>
      <c r="O32" s="454"/>
      <c r="P32" s="454"/>
      <c r="Q32" s="455"/>
      <c r="R32" s="139"/>
      <c r="S32" s="231"/>
      <c r="T32" s="231"/>
      <c r="U32" s="231"/>
      <c r="X32" s="231"/>
      <c r="Y32" s="231"/>
    </row>
    <row r="33" spans="1:25" ht="15" customHeight="1">
      <c r="A33" s="148"/>
      <c r="B33" s="445"/>
      <c r="C33" s="446"/>
      <c r="D33" s="447"/>
      <c r="E33" s="226" t="s">
        <v>185</v>
      </c>
      <c r="F33" s="462" t="s">
        <v>391</v>
      </c>
      <c r="G33" s="463"/>
      <c r="H33" s="456"/>
      <c r="I33" s="457"/>
      <c r="J33" s="457"/>
      <c r="K33" s="457"/>
      <c r="L33" s="457"/>
      <c r="M33" s="457"/>
      <c r="N33" s="457"/>
      <c r="O33" s="457"/>
      <c r="P33" s="457"/>
      <c r="Q33" s="458"/>
      <c r="R33" s="139"/>
      <c r="S33" s="231"/>
      <c r="T33" s="231"/>
      <c r="U33" s="231"/>
      <c r="X33" s="231"/>
      <c r="Y33" s="231"/>
    </row>
    <row r="34" spans="1:25" ht="23.25" customHeight="1">
      <c r="A34" s="148"/>
      <c r="B34" s="448"/>
      <c r="C34" s="449"/>
      <c r="D34" s="450"/>
      <c r="E34" s="226" t="s">
        <v>186</v>
      </c>
      <c r="F34" s="462" t="s">
        <v>390</v>
      </c>
      <c r="G34" s="463"/>
      <c r="H34" s="456"/>
      <c r="I34" s="457"/>
      <c r="J34" s="457"/>
      <c r="K34" s="457"/>
      <c r="L34" s="457"/>
      <c r="M34" s="457"/>
      <c r="N34" s="457"/>
      <c r="O34" s="457"/>
      <c r="P34" s="457"/>
      <c r="Q34" s="458"/>
      <c r="R34" s="139"/>
      <c r="S34" s="231"/>
      <c r="T34" s="231"/>
      <c r="U34" s="231"/>
      <c r="X34" s="231"/>
      <c r="Y34" s="231"/>
    </row>
    <row r="35" spans="1:25" ht="22.5" customHeight="1">
      <c r="A35" s="148"/>
      <c r="B35" s="464" t="s">
        <v>265</v>
      </c>
      <c r="C35" s="465"/>
      <c r="D35" s="466"/>
      <c r="E35" s="436" t="s">
        <v>188</v>
      </c>
      <c r="F35" s="462" t="str">
        <f>参照ﾃﾞｰﾀ!AL12</f>
        <v>別途</v>
      </c>
      <c r="G35" s="463"/>
      <c r="H35" s="456"/>
      <c r="I35" s="457"/>
      <c r="J35" s="457"/>
      <c r="K35" s="457"/>
      <c r="L35" s="457"/>
      <c r="M35" s="457"/>
      <c r="N35" s="457"/>
      <c r="O35" s="457"/>
      <c r="P35" s="457"/>
      <c r="Q35" s="458"/>
      <c r="R35" s="139"/>
      <c r="S35" s="231"/>
      <c r="T35" s="231"/>
      <c r="U35" s="231"/>
      <c r="X35" s="231"/>
      <c r="Y35" s="231"/>
    </row>
    <row r="36" spans="1:25" ht="15" customHeight="1">
      <c r="A36" s="148"/>
      <c r="B36" s="467"/>
      <c r="C36" s="468"/>
      <c r="D36" s="469"/>
      <c r="E36" s="475"/>
      <c r="F36" s="462"/>
      <c r="G36" s="463"/>
      <c r="H36" s="456"/>
      <c r="I36" s="457"/>
      <c r="J36" s="457"/>
      <c r="K36" s="457"/>
      <c r="L36" s="457"/>
      <c r="M36" s="457"/>
      <c r="N36" s="457"/>
      <c r="O36" s="457"/>
      <c r="P36" s="457"/>
      <c r="Q36" s="458"/>
      <c r="R36" s="139"/>
      <c r="S36" s="231"/>
      <c r="T36" s="231"/>
      <c r="U36" s="231"/>
      <c r="X36" s="231"/>
      <c r="Y36" s="231"/>
    </row>
    <row r="37" spans="1:25" ht="15" customHeight="1">
      <c r="A37" s="148"/>
      <c r="B37" s="467"/>
      <c r="C37" s="468"/>
      <c r="D37" s="469"/>
      <c r="E37" s="401" t="s">
        <v>187</v>
      </c>
      <c r="F37" s="481"/>
      <c r="G37" s="482"/>
      <c r="H37" s="456"/>
      <c r="I37" s="457"/>
      <c r="J37" s="457"/>
      <c r="K37" s="457"/>
      <c r="L37" s="457"/>
      <c r="M37" s="457"/>
      <c r="N37" s="457"/>
      <c r="O37" s="457"/>
      <c r="P37" s="457"/>
      <c r="Q37" s="458"/>
      <c r="R37" s="139"/>
      <c r="S37" s="231"/>
      <c r="T37" s="231"/>
      <c r="U37" s="231"/>
      <c r="X37" s="231"/>
      <c r="Y37" s="231"/>
    </row>
    <row r="38" spans="1:25" ht="15" customHeight="1">
      <c r="A38" s="148"/>
      <c r="B38" s="467"/>
      <c r="C38" s="468"/>
      <c r="D38" s="469"/>
      <c r="E38" s="402" t="s">
        <v>200</v>
      </c>
      <c r="F38" s="477"/>
      <c r="G38" s="478"/>
      <c r="H38" s="456"/>
      <c r="I38" s="457"/>
      <c r="J38" s="457"/>
      <c r="K38" s="457"/>
      <c r="L38" s="457"/>
      <c r="M38" s="457"/>
      <c r="N38" s="457"/>
      <c r="O38" s="457"/>
      <c r="P38" s="457"/>
      <c r="Q38" s="458"/>
      <c r="R38" s="139"/>
      <c r="S38" s="231"/>
      <c r="T38" s="231"/>
      <c r="U38" s="231"/>
      <c r="X38" s="231"/>
      <c r="Y38" s="231"/>
    </row>
    <row r="39" spans="1:25" ht="15" customHeight="1">
      <c r="A39" s="148"/>
      <c r="B39" s="467"/>
      <c r="C39" s="468"/>
      <c r="D39" s="469"/>
      <c r="E39" s="483" t="s">
        <v>188</v>
      </c>
      <c r="F39" s="477"/>
      <c r="G39" s="478"/>
      <c r="H39" s="456"/>
      <c r="I39" s="457"/>
      <c r="J39" s="457"/>
      <c r="K39" s="457"/>
      <c r="L39" s="457"/>
      <c r="M39" s="457"/>
      <c r="N39" s="457"/>
      <c r="O39" s="457"/>
      <c r="P39" s="457"/>
      <c r="Q39" s="458"/>
      <c r="R39" s="139"/>
      <c r="S39" s="231"/>
      <c r="T39" s="231"/>
      <c r="U39" s="231"/>
      <c r="X39" s="231"/>
      <c r="Y39" s="231"/>
    </row>
    <row r="40" spans="1:25" ht="15" customHeight="1">
      <c r="A40" s="148"/>
      <c r="B40" s="467"/>
      <c r="C40" s="468"/>
      <c r="D40" s="469"/>
      <c r="E40" s="483"/>
      <c r="F40" s="477"/>
      <c r="G40" s="478"/>
      <c r="H40" s="456"/>
      <c r="I40" s="457"/>
      <c r="J40" s="457"/>
      <c r="K40" s="457"/>
      <c r="L40" s="457"/>
      <c r="M40" s="457"/>
      <c r="N40" s="457"/>
      <c r="O40" s="457"/>
      <c r="P40" s="457"/>
      <c r="Q40" s="458"/>
      <c r="R40" s="139"/>
      <c r="S40" s="231"/>
      <c r="T40" s="231"/>
      <c r="U40" s="231"/>
      <c r="X40" s="231"/>
      <c r="Y40" s="231"/>
    </row>
    <row r="41" spans="1:25" ht="11.25" customHeight="1" thickBot="1">
      <c r="A41" s="148"/>
      <c r="B41" s="470"/>
      <c r="C41" s="471"/>
      <c r="D41" s="472"/>
      <c r="E41" s="403"/>
      <c r="F41" s="479"/>
      <c r="G41" s="480"/>
      <c r="H41" s="459"/>
      <c r="I41" s="460"/>
      <c r="J41" s="460"/>
      <c r="K41" s="460"/>
      <c r="L41" s="460"/>
      <c r="M41" s="460"/>
      <c r="N41" s="460"/>
      <c r="O41" s="460"/>
      <c r="P41" s="460"/>
      <c r="Q41" s="461"/>
      <c r="R41" s="139"/>
      <c r="S41" s="231"/>
      <c r="T41" s="231"/>
      <c r="U41" s="231"/>
      <c r="V41" s="231"/>
      <c r="W41" s="231"/>
      <c r="X41" s="231"/>
      <c r="Y41" s="231"/>
    </row>
    <row r="42" spans="1:25">
      <c r="A42" s="148"/>
      <c r="B42" s="148"/>
      <c r="C42" s="148"/>
      <c r="D42" s="148"/>
      <c r="E42" s="148"/>
      <c r="F42" s="148"/>
      <c r="G42" s="148"/>
      <c r="H42" s="148"/>
      <c r="I42" s="148"/>
      <c r="J42" s="148"/>
      <c r="K42" s="148"/>
      <c r="L42" s="148"/>
      <c r="M42" s="148"/>
      <c r="N42" s="148"/>
      <c r="O42" s="148"/>
      <c r="P42" s="148"/>
      <c r="Q42" s="148"/>
      <c r="R42" s="148"/>
    </row>
  </sheetData>
  <sheetProtection algorithmName="SHA-512" hashValue="ni1tqk6MwMTVEgtZdT4sUAu0a0dBkHUSYIkFvlACtalvDt2IjrwRJ7ofPB79GkaX8iXsLhwy1CyZWoOaQcovcw==" saltValue="ZbesDGKlJAG9w2jJL5aUIg==" spinCount="100000" sheet="1" objects="1" scenarios="1"/>
  <sortState ref="C7:F14">
    <sortCondition ref="E7:E14"/>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P2 F37:G37">
      <formula1>開催日</formula1>
    </dataValidation>
    <dataValidation type="list" errorStyle="warning"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L17" sqref="L17"/>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875" style="230" customWidth="1"/>
    <col min="13" max="13" width="9.5" style="230" customWidth="1"/>
    <col min="14" max="14" width="7.875" style="230" customWidth="1"/>
    <col min="15" max="15" width="8" style="230" customWidth="1"/>
    <col min="16" max="16" width="12" style="230" bestFit="1" customWidth="1"/>
    <col min="17" max="17" width="11.625" style="230" customWidth="1"/>
    <col min="18" max="18" width="1.625" style="230" customWidth="1"/>
    <col min="19" max="19" width="4.875" style="230" customWidth="1"/>
    <col min="20" max="22" width="7.625" style="230" customWidth="1"/>
    <col min="23" max="23" width="8.25" style="230" customWidth="1"/>
    <col min="24" max="25" width="7.625" style="230" customWidth="1"/>
    <col min="26" max="26" width="4.5" style="230" customWidth="1"/>
    <col min="27" max="29" width="8" style="230" customWidth="1"/>
    <col min="30" max="16384" width="9" style="230"/>
  </cols>
  <sheetData>
    <row r="1" spans="1:29" ht="9.75" customHeight="1" thickBot="1">
      <c r="A1" s="148"/>
      <c r="B1" s="148"/>
      <c r="C1" s="148"/>
      <c r="D1" s="148"/>
      <c r="E1" s="148"/>
      <c r="F1" s="148"/>
      <c r="G1" s="148"/>
      <c r="H1" s="148"/>
      <c r="I1" s="148"/>
      <c r="J1" s="148"/>
      <c r="K1" s="148"/>
      <c r="L1" s="148"/>
      <c r="M1" s="148"/>
      <c r="N1" s="148"/>
      <c r="O1" s="148"/>
      <c r="P1" s="148"/>
      <c r="Q1" s="148"/>
      <c r="R1" s="148"/>
      <c r="S1" s="148"/>
    </row>
    <row r="2" spans="1:29" ht="21">
      <c r="A2" s="148"/>
      <c r="B2" s="139"/>
      <c r="C2" s="140"/>
      <c r="D2" s="437" t="str">
        <f>参照ﾃﾞｰﾀ!P4</f>
        <v>2019年</v>
      </c>
      <c r="E2" s="437"/>
      <c r="F2" s="437"/>
      <c r="G2" s="141" t="s">
        <v>196</v>
      </c>
      <c r="H2" s="142"/>
      <c r="I2" s="143"/>
      <c r="J2" s="139"/>
      <c r="K2" s="144"/>
      <c r="L2" s="139"/>
      <c r="M2" s="145" t="s">
        <v>52</v>
      </c>
      <c r="N2" s="146" t="s">
        <v>74</v>
      </c>
      <c r="O2" s="147" t="s">
        <v>54</v>
      </c>
      <c r="P2" s="280">
        <v>43723</v>
      </c>
      <c r="Q2" s="281">
        <v>0.39583333333333331</v>
      </c>
      <c r="R2" s="404"/>
      <c r="S2" s="139"/>
      <c r="T2" s="232" t="s">
        <v>2</v>
      </c>
      <c r="U2" s="231"/>
      <c r="V2" s="231"/>
      <c r="W2" s="231"/>
      <c r="X2" s="231"/>
      <c r="Y2" s="231"/>
      <c r="Z2" s="231"/>
    </row>
    <row r="3" spans="1:29" ht="21.75" customHeight="1" thickBot="1">
      <c r="A3" s="148"/>
      <c r="B3" s="139"/>
      <c r="C3" s="148"/>
      <c r="D3" s="400" t="s">
        <v>248</v>
      </c>
      <c r="E3" s="438" t="s">
        <v>64</v>
      </c>
      <c r="F3" s="438"/>
      <c r="G3" s="438"/>
      <c r="H3" s="438"/>
      <c r="I3" s="438"/>
      <c r="J3" s="439" t="s">
        <v>86</v>
      </c>
      <c r="K3" s="439"/>
      <c r="L3" s="139"/>
      <c r="M3" s="150" t="s">
        <v>75</v>
      </c>
      <c r="N3" s="151">
        <f>IF(ISBLANK(N2),"",VLOOKUP(N2,コース・距離,2,FALSE))</f>
        <v>11.3</v>
      </c>
      <c r="O3" s="152" t="s">
        <v>0</v>
      </c>
      <c r="P3" s="153">
        <v>10</v>
      </c>
      <c r="Q3" s="154" t="s">
        <v>1</v>
      </c>
      <c r="R3" s="405"/>
      <c r="S3" s="139"/>
      <c r="T3" s="231" t="s">
        <v>234</v>
      </c>
      <c r="U3" s="231"/>
      <c r="V3" s="231"/>
      <c r="W3" s="232" t="s">
        <v>2</v>
      </c>
      <c r="X3" s="231"/>
      <c r="Y3" s="231"/>
      <c r="Z3" s="231"/>
      <c r="AA3" s="233" t="s">
        <v>76</v>
      </c>
    </row>
    <row r="4" spans="1:29" ht="7.5" customHeight="1" thickBot="1">
      <c r="A4" s="148"/>
      <c r="B4" s="139"/>
      <c r="C4" s="139"/>
      <c r="D4" s="139"/>
      <c r="E4" s="139"/>
      <c r="F4" s="139"/>
      <c r="G4" s="139"/>
      <c r="H4" s="139"/>
      <c r="I4" s="139"/>
      <c r="J4" s="139"/>
      <c r="K4" s="139"/>
      <c r="L4" s="139"/>
      <c r="M4" s="139"/>
      <c r="N4" s="139"/>
      <c r="O4" s="139"/>
      <c r="P4" s="139"/>
      <c r="Q4" s="139"/>
      <c r="R4" s="139"/>
      <c r="S4" s="139"/>
      <c r="T4" s="231"/>
      <c r="U4" s="231"/>
      <c r="V4" s="231"/>
      <c r="W4" s="234"/>
      <c r="X4" s="231"/>
      <c r="Y4" s="231"/>
      <c r="Z4" s="231"/>
    </row>
    <row r="5" spans="1:29"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406"/>
      <c r="S5" s="228"/>
      <c r="T5" s="237" t="s">
        <v>10</v>
      </c>
      <c r="U5" s="235" t="s">
        <v>10</v>
      </c>
      <c r="V5" s="238" t="s">
        <v>10</v>
      </c>
      <c r="W5" s="237" t="s">
        <v>10</v>
      </c>
      <c r="X5" s="235" t="s">
        <v>10</v>
      </c>
      <c r="Y5" s="238" t="s">
        <v>10</v>
      </c>
      <c r="Z5" s="236"/>
      <c r="AA5" s="237" t="s">
        <v>13</v>
      </c>
      <c r="AB5" s="235" t="s">
        <v>13</v>
      </c>
      <c r="AC5" s="238" t="s">
        <v>13</v>
      </c>
    </row>
    <row r="6" spans="1:29" ht="14.25">
      <c r="A6" s="148"/>
      <c r="B6" s="158"/>
      <c r="C6" s="159" t="s">
        <v>14</v>
      </c>
      <c r="D6" s="160"/>
      <c r="E6" s="161" t="s">
        <v>15</v>
      </c>
      <c r="F6" s="161"/>
      <c r="G6" s="159" t="s">
        <v>16</v>
      </c>
      <c r="H6" s="161" t="s">
        <v>17</v>
      </c>
      <c r="I6" s="159" t="s">
        <v>232</v>
      </c>
      <c r="J6" s="161" t="s">
        <v>18</v>
      </c>
      <c r="K6" s="161" t="s">
        <v>17</v>
      </c>
      <c r="L6" s="159" t="s">
        <v>16</v>
      </c>
      <c r="M6" s="161" t="s">
        <v>46</v>
      </c>
      <c r="N6" s="161" t="s">
        <v>19</v>
      </c>
      <c r="O6" s="162" t="str">
        <f>"MAX=30"</f>
        <v>MAX=30</v>
      </c>
      <c r="P6" s="163"/>
      <c r="Q6" s="164"/>
      <c r="R6" s="407"/>
      <c r="S6" s="229"/>
      <c r="T6" s="241" t="s">
        <v>20</v>
      </c>
      <c r="U6" s="239" t="s">
        <v>22</v>
      </c>
      <c r="V6" s="242" t="s">
        <v>21</v>
      </c>
      <c r="W6" s="241" t="s">
        <v>20</v>
      </c>
      <c r="X6" s="239" t="s">
        <v>22</v>
      </c>
      <c r="Y6" s="242" t="s">
        <v>21</v>
      </c>
      <c r="Z6" s="240"/>
      <c r="AA6" s="241" t="s">
        <v>78</v>
      </c>
      <c r="AB6" s="239" t="s">
        <v>79</v>
      </c>
      <c r="AC6" s="242" t="s">
        <v>80</v>
      </c>
    </row>
    <row r="7" spans="1:29" ht="14.25">
      <c r="A7" s="148"/>
      <c r="B7" s="165">
        <v>1</v>
      </c>
      <c r="C7" s="166">
        <v>5752</v>
      </c>
      <c r="D7" s="167" t="str">
        <f t="shared" ref="D7:D16" si="0">IF(ISBLANK(C7),"",VLOOKUP(C7,各艇データ,2,FALSE))</f>
        <v>アルファ</v>
      </c>
      <c r="E7" s="265">
        <f t="shared" ref="E7:E16" si="1">IF($I$6="Ⅰ",T7,IF($I$6="Ⅱ",U7,IF($I$6="Ⅲ",V7,"")))</f>
        <v>10.18</v>
      </c>
      <c r="F7" s="168">
        <v>1</v>
      </c>
      <c r="G7" s="169">
        <v>0.4806597222222222</v>
      </c>
      <c r="H7" s="166">
        <f t="shared" ref="H7:H16" si="2">IFERROR(IF(G7-$Q$2&lt;=0,"",(G7-$Q$2)*86400),"")</f>
        <v>7328.9999999999991</v>
      </c>
      <c r="I7" s="170">
        <f t="shared" ref="I7:I16" si="3">IF($I$6="Ⅰ",W7,IF($I$6="Ⅱ",X7,IF($I$6="Ⅲ",Y7,"")))</f>
        <v>557</v>
      </c>
      <c r="J7" s="168"/>
      <c r="K7" s="171">
        <f t="shared" ref="K7:K16" si="4">IFERROR(H7*(1+0.01*J7)-I7*$N$3,"")</f>
        <v>1034.8999999999987</v>
      </c>
      <c r="L7" s="169">
        <f t="shared" ref="L7:L16" si="5">IFERROR((K7-$K$7)/86400,"")</f>
        <v>0</v>
      </c>
      <c r="M7" s="172">
        <f t="shared" ref="M7:M16" si="6">IFERROR((K7-$K$7)/$N$3,"")</f>
        <v>0</v>
      </c>
      <c r="N7" s="173">
        <f t="shared" ref="N7:N16" si="7">IFERROR($N$3/(H7/3600),"")</f>
        <v>5.5505525992632014</v>
      </c>
      <c r="O7" s="174">
        <f>ROUND(IF($O$6="MAX=20",AA7,IF($O$6="MAX=30",AB7,IF($O$6="MAX=40",AC7,""))),1)</f>
        <v>30</v>
      </c>
      <c r="P7" s="270"/>
      <c r="Q7" s="175"/>
      <c r="R7" s="407"/>
      <c r="S7" s="228"/>
      <c r="T7" s="244">
        <f t="shared" ref="T7:T31" si="8">IF(ISBLANK(C7),"",VLOOKUP(C7,各艇データ,3,FALSE))</f>
        <v>10.43</v>
      </c>
      <c r="U7" s="245">
        <f t="shared" ref="U7:U31" si="9">IF(ISBLANK(C7),"",VLOOKUP(C7,各艇データ,4,FALSE))</f>
        <v>10.18</v>
      </c>
      <c r="V7" s="246">
        <f t="shared" ref="V7:V31" si="10">IF(ISBLANK(C7),"",VLOOKUP(C7,各艇データ,5,FALSE))</f>
        <v>9.92</v>
      </c>
      <c r="W7" s="247">
        <f t="shared" ref="W7:W31" si="11">IF(ISBLANK(C7),"",VLOOKUP(C7,各艇データ,6,FALSE))</f>
        <v>892.7</v>
      </c>
      <c r="X7" s="248">
        <f t="shared" ref="X7:X31" si="12">IF(ISBLANK(C7),"",VLOOKUP(C7,各艇データ,7,FALSE))</f>
        <v>557</v>
      </c>
      <c r="Y7" s="249">
        <f t="shared" ref="Y7:Y31" si="13">IF(ISBLANK(C7),"",VLOOKUP(C7,各艇データ,8,FALSE))</f>
        <v>492.1</v>
      </c>
      <c r="Z7" s="236"/>
      <c r="AA7" s="250">
        <f>IF(ISBLANK(B7),"",IFERROR(20*($P$3+1-$B7)/$P$3,"20.0"))</f>
        <v>20</v>
      </c>
      <c r="AB7" s="243">
        <f>IF(ISBLANK(B7),"",IFERROR(30*($P$3+1-$B7)/$P$3,"30.0"))</f>
        <v>30</v>
      </c>
      <c r="AC7" s="251">
        <f>IF(ISBLANK(B7),"",IFERROR(30*($P$3-$B7)/($P$3-1)+10,"20.0"))</f>
        <v>40</v>
      </c>
    </row>
    <row r="8" spans="1:29" ht="14.25">
      <c r="A8" s="148"/>
      <c r="B8" s="176">
        <v>2</v>
      </c>
      <c r="C8" s="177">
        <v>150</v>
      </c>
      <c r="D8" s="178" t="str">
        <f t="shared" si="0"/>
        <v>SHARK X</v>
      </c>
      <c r="E8" s="266">
        <f t="shared" si="1"/>
        <v>8.68</v>
      </c>
      <c r="F8" s="179">
        <v>2</v>
      </c>
      <c r="G8" s="180">
        <v>0.4864236111111111</v>
      </c>
      <c r="H8" s="177">
        <f t="shared" si="2"/>
        <v>7827.0000000000009</v>
      </c>
      <c r="I8" s="181">
        <f t="shared" si="3"/>
        <v>588.9</v>
      </c>
      <c r="J8" s="179"/>
      <c r="K8" s="182">
        <f t="shared" si="4"/>
        <v>1172.4300000000012</v>
      </c>
      <c r="L8" s="180">
        <f t="shared" si="5"/>
        <v>1.591782407407436E-3</v>
      </c>
      <c r="M8" s="183">
        <f t="shared" si="6"/>
        <v>12.170796460177209</v>
      </c>
      <c r="N8" s="184">
        <f t="shared" si="7"/>
        <v>5.1973936374089691</v>
      </c>
      <c r="O8" s="185">
        <f t="shared" ref="O8:O16" si="14">ROUND(IF($O$6="MAX=20",AA8,IF($O$6="MAX=30",AB8,IF($O$6="MAX=40",AC8,""))),1)</f>
        <v>27</v>
      </c>
      <c r="P8" s="186"/>
      <c r="Q8" s="187"/>
      <c r="R8" s="407"/>
      <c r="S8" s="228"/>
      <c r="T8" s="244">
        <f t="shared" si="8"/>
        <v>9.06</v>
      </c>
      <c r="U8" s="245">
        <f t="shared" si="9"/>
        <v>8.68</v>
      </c>
      <c r="V8" s="246">
        <f t="shared" si="10"/>
        <v>8.5</v>
      </c>
      <c r="W8" s="247">
        <f t="shared" si="11"/>
        <v>936.4</v>
      </c>
      <c r="X8" s="248">
        <f t="shared" si="12"/>
        <v>588.9</v>
      </c>
      <c r="Y8" s="249">
        <f t="shared" si="13"/>
        <v>524.4</v>
      </c>
      <c r="Z8" s="236"/>
      <c r="AA8" s="250">
        <f t="shared" ref="AA8:AA31" si="15">IF(ISBLANK(B8),"",IFERROR(20*($P$3+1-$B8)/$P$3,"20.0"))</f>
        <v>18</v>
      </c>
      <c r="AB8" s="243">
        <f t="shared" ref="AB8:AB31" si="16">IF(ISBLANK(B8),"",IFERROR(30*($P$3+1-$B8)/$P$3,"30.0"))</f>
        <v>27</v>
      </c>
      <c r="AC8" s="251">
        <f t="shared" ref="AC8:AC31" si="17">IF(ISBLANK(B8),"",IFERROR(30*($P$3-$B8)/($P$3-1)+10,"20.0"))</f>
        <v>36.666666666666671</v>
      </c>
    </row>
    <row r="9" spans="1:29" ht="14.25">
      <c r="A9" s="148"/>
      <c r="B9" s="176">
        <v>3</v>
      </c>
      <c r="C9" s="177">
        <v>1611</v>
      </c>
      <c r="D9" s="178" t="str">
        <f t="shared" si="0"/>
        <v>ﾈﾌﾟﾁｭｰﾝXⅡ</v>
      </c>
      <c r="E9" s="266">
        <f t="shared" si="1"/>
        <v>8.15</v>
      </c>
      <c r="F9" s="179">
        <v>3</v>
      </c>
      <c r="G9" s="180">
        <v>0.48868055555555556</v>
      </c>
      <c r="H9" s="177">
        <f t="shared" si="2"/>
        <v>8022.0000000000018</v>
      </c>
      <c r="I9" s="181">
        <f t="shared" si="3"/>
        <v>602.20000000000005</v>
      </c>
      <c r="J9" s="179"/>
      <c r="K9" s="182">
        <f t="shared" si="4"/>
        <v>1217.1400000000012</v>
      </c>
      <c r="L9" s="180">
        <f t="shared" si="5"/>
        <v>2.1092592592592881E-3</v>
      </c>
      <c r="M9" s="183">
        <f t="shared" si="6"/>
        <v>16.127433628318805</v>
      </c>
      <c r="N9" s="184">
        <f t="shared" si="7"/>
        <v>5.0710545998504104</v>
      </c>
      <c r="O9" s="185">
        <f t="shared" si="14"/>
        <v>24</v>
      </c>
      <c r="P9" s="186"/>
      <c r="Q9" s="187"/>
      <c r="R9" s="407"/>
      <c r="S9" s="228"/>
      <c r="T9" s="244">
        <f t="shared" si="8"/>
        <v>8.0299999999999994</v>
      </c>
      <c r="U9" s="245">
        <f t="shared" si="9"/>
        <v>8.15</v>
      </c>
      <c r="V9" s="246">
        <f t="shared" si="10"/>
        <v>7.98</v>
      </c>
      <c r="W9" s="247">
        <f t="shared" si="11"/>
        <v>975.7</v>
      </c>
      <c r="X9" s="248">
        <f t="shared" si="12"/>
        <v>602.20000000000005</v>
      </c>
      <c r="Y9" s="249">
        <f t="shared" si="13"/>
        <v>538.1</v>
      </c>
      <c r="Z9" s="236"/>
      <c r="AA9" s="250">
        <f t="shared" si="15"/>
        <v>16</v>
      </c>
      <c r="AB9" s="243">
        <f t="shared" si="16"/>
        <v>24</v>
      </c>
      <c r="AC9" s="251">
        <f t="shared" si="17"/>
        <v>33.333333333333329</v>
      </c>
    </row>
    <row r="10" spans="1:29" ht="14.25">
      <c r="A10" s="148"/>
      <c r="B10" s="176">
        <v>4</v>
      </c>
      <c r="C10" s="177">
        <v>312</v>
      </c>
      <c r="D10" s="178" t="str">
        <f t="shared" si="0"/>
        <v>はやとり</v>
      </c>
      <c r="E10" s="266">
        <f t="shared" si="1"/>
        <v>8.09</v>
      </c>
      <c r="F10" s="179">
        <v>5</v>
      </c>
      <c r="G10" s="180">
        <v>0.49083333333333329</v>
      </c>
      <c r="H10" s="177">
        <f t="shared" si="2"/>
        <v>8207.9999999999982</v>
      </c>
      <c r="I10" s="181">
        <f t="shared" si="3"/>
        <v>603.70000000000005</v>
      </c>
      <c r="J10" s="179"/>
      <c r="K10" s="182">
        <f t="shared" si="4"/>
        <v>1386.1899999999969</v>
      </c>
      <c r="L10" s="180">
        <f t="shared" si="5"/>
        <v>4.0658564814814602E-3</v>
      </c>
      <c r="M10" s="183">
        <f t="shared" si="6"/>
        <v>31.087610619468862</v>
      </c>
      <c r="N10" s="184">
        <f t="shared" si="7"/>
        <v>4.9561403508771944</v>
      </c>
      <c r="O10" s="185">
        <f t="shared" si="14"/>
        <v>21</v>
      </c>
      <c r="P10" s="258"/>
      <c r="Q10" s="187"/>
      <c r="R10" s="407"/>
      <c r="S10" s="228"/>
      <c r="T10" s="244">
        <f t="shared" si="8"/>
        <v>8.11</v>
      </c>
      <c r="U10" s="245">
        <f t="shared" si="9"/>
        <v>8.09</v>
      </c>
      <c r="V10" s="246">
        <f t="shared" si="10"/>
        <v>8.07</v>
      </c>
      <c r="W10" s="247">
        <f t="shared" si="11"/>
        <v>972.4</v>
      </c>
      <c r="X10" s="248">
        <f t="shared" si="12"/>
        <v>603.70000000000005</v>
      </c>
      <c r="Y10" s="249">
        <f t="shared" si="13"/>
        <v>535.70000000000005</v>
      </c>
      <c r="Z10" s="236"/>
      <c r="AA10" s="250">
        <f t="shared" si="15"/>
        <v>14</v>
      </c>
      <c r="AB10" s="243">
        <f t="shared" si="16"/>
        <v>21</v>
      </c>
      <c r="AC10" s="251">
        <f t="shared" si="17"/>
        <v>30</v>
      </c>
    </row>
    <row r="11" spans="1:29" ht="14.25">
      <c r="A11" s="148"/>
      <c r="B11" s="188">
        <v>5</v>
      </c>
      <c r="C11" s="189">
        <v>131</v>
      </c>
      <c r="D11" s="190" t="str">
        <f t="shared" si="0"/>
        <v>ふるたか</v>
      </c>
      <c r="E11" s="267">
        <f t="shared" si="1"/>
        <v>8.31</v>
      </c>
      <c r="F11" s="191">
        <v>7</v>
      </c>
      <c r="G11" s="192">
        <v>0.49273148148148144</v>
      </c>
      <c r="H11" s="193">
        <f t="shared" si="2"/>
        <v>8371.9999999999982</v>
      </c>
      <c r="I11" s="194">
        <f t="shared" si="3"/>
        <v>598.20000000000005</v>
      </c>
      <c r="J11" s="195"/>
      <c r="K11" s="196">
        <f t="shared" si="4"/>
        <v>1612.3399999999974</v>
      </c>
      <c r="L11" s="197">
        <f t="shared" si="5"/>
        <v>6.683333333333318E-3</v>
      </c>
      <c r="M11" s="198">
        <f t="shared" si="6"/>
        <v>51.100884955752093</v>
      </c>
      <c r="N11" s="199">
        <f t="shared" si="7"/>
        <v>4.8590539894887739</v>
      </c>
      <c r="O11" s="200">
        <f t="shared" si="14"/>
        <v>18</v>
      </c>
      <c r="P11" s="201"/>
      <c r="Q11" s="202"/>
      <c r="R11" s="407"/>
      <c r="S11" s="228"/>
      <c r="T11" s="244">
        <f t="shared" si="8"/>
        <v>8.2899999999999991</v>
      </c>
      <c r="U11" s="245">
        <f t="shared" si="9"/>
        <v>8.31</v>
      </c>
      <c r="V11" s="246">
        <f t="shared" si="10"/>
        <v>8.0500000000000007</v>
      </c>
      <c r="W11" s="247">
        <f t="shared" si="11"/>
        <v>965.1</v>
      </c>
      <c r="X11" s="248">
        <f t="shared" si="12"/>
        <v>598.20000000000005</v>
      </c>
      <c r="Y11" s="249">
        <f t="shared" si="13"/>
        <v>536.29999999999995</v>
      </c>
      <c r="Z11" s="236"/>
      <c r="AA11" s="250">
        <f t="shared" si="15"/>
        <v>12</v>
      </c>
      <c r="AB11" s="243">
        <f t="shared" si="16"/>
        <v>18</v>
      </c>
      <c r="AC11" s="251">
        <f t="shared" si="17"/>
        <v>26.666666666666668</v>
      </c>
    </row>
    <row r="12" spans="1:29" ht="14.25">
      <c r="A12" s="148"/>
      <c r="B12" s="165">
        <v>6</v>
      </c>
      <c r="C12" s="166">
        <v>4469</v>
      </c>
      <c r="D12" s="167" t="str">
        <f t="shared" si="0"/>
        <v>未央</v>
      </c>
      <c r="E12" s="265">
        <f t="shared" si="1"/>
        <v>6.6</v>
      </c>
      <c r="F12" s="168">
        <v>9</v>
      </c>
      <c r="G12" s="169">
        <v>0.49988425925925922</v>
      </c>
      <c r="H12" s="166">
        <f t="shared" si="2"/>
        <v>8989.9999999999982</v>
      </c>
      <c r="I12" s="170">
        <f t="shared" si="3"/>
        <v>648.5</v>
      </c>
      <c r="J12" s="168"/>
      <c r="K12" s="171">
        <f t="shared" si="4"/>
        <v>1661.949999999998</v>
      </c>
      <c r="L12" s="169">
        <f t="shared" si="5"/>
        <v>7.2575231481481397E-3</v>
      </c>
      <c r="M12" s="172">
        <f t="shared" si="6"/>
        <v>55.49115044247781</v>
      </c>
      <c r="N12" s="173">
        <f t="shared" si="7"/>
        <v>4.5250278086763078</v>
      </c>
      <c r="O12" s="174">
        <f t="shared" si="14"/>
        <v>15</v>
      </c>
      <c r="P12" s="148"/>
      <c r="Q12" s="175"/>
      <c r="R12" s="407"/>
      <c r="S12" s="228"/>
      <c r="T12" s="244">
        <f t="shared" si="8"/>
        <v>6.54</v>
      </c>
      <c r="U12" s="245">
        <f t="shared" si="9"/>
        <v>6.6</v>
      </c>
      <c r="V12" s="246">
        <f t="shared" si="10"/>
        <v>6.69</v>
      </c>
      <c r="W12" s="247">
        <f t="shared" si="11"/>
        <v>1046.0999999999999</v>
      </c>
      <c r="X12" s="248">
        <f t="shared" si="12"/>
        <v>648.5</v>
      </c>
      <c r="Y12" s="249">
        <f t="shared" si="13"/>
        <v>578.4</v>
      </c>
      <c r="Z12" s="236"/>
      <c r="AA12" s="250">
        <f t="shared" si="15"/>
        <v>10</v>
      </c>
      <c r="AB12" s="243">
        <f t="shared" si="16"/>
        <v>15</v>
      </c>
      <c r="AC12" s="251">
        <f t="shared" si="17"/>
        <v>23.333333333333336</v>
      </c>
    </row>
    <row r="13" spans="1:29" ht="14.25">
      <c r="A13" s="148"/>
      <c r="B13" s="176">
        <v>7</v>
      </c>
      <c r="C13" s="177">
        <v>321</v>
      </c>
      <c r="D13" s="178" t="str">
        <f t="shared" si="0"/>
        <v>かまくら</v>
      </c>
      <c r="E13" s="266">
        <f t="shared" si="1"/>
        <v>9.51</v>
      </c>
      <c r="F13" s="179">
        <v>4</v>
      </c>
      <c r="G13" s="180">
        <v>0.48989583333333336</v>
      </c>
      <c r="H13" s="177">
        <f t="shared" si="2"/>
        <v>8127.0000000000045</v>
      </c>
      <c r="I13" s="181">
        <f t="shared" si="3"/>
        <v>570.5</v>
      </c>
      <c r="J13" s="179"/>
      <c r="K13" s="182">
        <f t="shared" si="4"/>
        <v>1680.350000000004</v>
      </c>
      <c r="L13" s="180">
        <f t="shared" si="5"/>
        <v>7.4704861111111725E-3</v>
      </c>
      <c r="M13" s="183">
        <f t="shared" si="6"/>
        <v>57.119469026549133</v>
      </c>
      <c r="N13" s="184">
        <f t="shared" si="7"/>
        <v>5.0055370985603522</v>
      </c>
      <c r="O13" s="185">
        <f t="shared" si="14"/>
        <v>12</v>
      </c>
      <c r="P13" s="219"/>
      <c r="Q13" s="187"/>
      <c r="R13" s="407"/>
      <c r="S13" s="228"/>
      <c r="T13" s="244">
        <f t="shared" si="8"/>
        <v>10.15</v>
      </c>
      <c r="U13" s="245">
        <f t="shared" si="9"/>
        <v>9.51</v>
      </c>
      <c r="V13" s="246">
        <f t="shared" si="10"/>
        <v>9.44</v>
      </c>
      <c r="W13" s="247">
        <f t="shared" si="11"/>
        <v>900.8</v>
      </c>
      <c r="X13" s="248">
        <f t="shared" si="12"/>
        <v>570.5</v>
      </c>
      <c r="Y13" s="249">
        <f t="shared" si="13"/>
        <v>502.2</v>
      </c>
      <c r="Z13" s="236"/>
      <c r="AA13" s="250">
        <f t="shared" si="15"/>
        <v>8</v>
      </c>
      <c r="AB13" s="243">
        <f t="shared" si="16"/>
        <v>12</v>
      </c>
      <c r="AC13" s="251">
        <f t="shared" si="17"/>
        <v>20</v>
      </c>
    </row>
    <row r="14" spans="1:29" ht="14.25">
      <c r="A14" s="148"/>
      <c r="B14" s="176">
        <v>8</v>
      </c>
      <c r="C14" s="177">
        <v>6732</v>
      </c>
      <c r="D14" s="178" t="str">
        <f t="shared" si="0"/>
        <v>アイデアル</v>
      </c>
      <c r="E14" s="266">
        <f t="shared" si="1"/>
        <v>9.1300000000000008</v>
      </c>
      <c r="F14" s="179">
        <v>6</v>
      </c>
      <c r="G14" s="180">
        <v>0.49222222222222217</v>
      </c>
      <c r="H14" s="177">
        <f t="shared" si="2"/>
        <v>8327.9999999999964</v>
      </c>
      <c r="I14" s="181">
        <f t="shared" si="3"/>
        <v>578.79999999999995</v>
      </c>
      <c r="J14" s="179"/>
      <c r="K14" s="182">
        <f t="shared" si="4"/>
        <v>1787.5599999999968</v>
      </c>
      <c r="L14" s="180">
        <f t="shared" si="5"/>
        <v>8.7113425925925692E-3</v>
      </c>
      <c r="M14" s="183">
        <f t="shared" si="6"/>
        <v>66.607079646017525</v>
      </c>
      <c r="N14" s="184">
        <f t="shared" si="7"/>
        <v>4.8847262247838641</v>
      </c>
      <c r="O14" s="185">
        <f t="shared" si="14"/>
        <v>9</v>
      </c>
      <c r="P14" s="186" t="s">
        <v>393</v>
      </c>
      <c r="Q14" s="187"/>
      <c r="R14" s="407"/>
      <c r="S14" s="228"/>
      <c r="T14" s="244">
        <f t="shared" si="8"/>
        <v>9.59</v>
      </c>
      <c r="U14" s="245">
        <f t="shared" si="9"/>
        <v>9.1300000000000008</v>
      </c>
      <c r="V14" s="246">
        <f t="shared" si="10"/>
        <v>8.76</v>
      </c>
      <c r="W14" s="247">
        <f t="shared" si="11"/>
        <v>918.4</v>
      </c>
      <c r="X14" s="248">
        <f t="shared" si="12"/>
        <v>578.79999999999995</v>
      </c>
      <c r="Y14" s="249">
        <f t="shared" si="13"/>
        <v>518</v>
      </c>
      <c r="Z14" s="236"/>
      <c r="AA14" s="250">
        <f t="shared" si="15"/>
        <v>6</v>
      </c>
      <c r="AB14" s="243">
        <f t="shared" si="16"/>
        <v>9</v>
      </c>
      <c r="AC14" s="251">
        <f t="shared" si="17"/>
        <v>16.666666666666668</v>
      </c>
    </row>
    <row r="15" spans="1:29" ht="14.25">
      <c r="A15" s="148"/>
      <c r="B15" s="176">
        <v>9</v>
      </c>
      <c r="C15" s="177">
        <v>346</v>
      </c>
      <c r="D15" s="178" t="str">
        <f t="shared" si="0"/>
        <v>飛車角</v>
      </c>
      <c r="E15" s="266">
        <f t="shared" si="1"/>
        <v>8.58</v>
      </c>
      <c r="F15" s="179">
        <v>8</v>
      </c>
      <c r="G15" s="180">
        <v>0.49479166666666669</v>
      </c>
      <c r="H15" s="177">
        <f t="shared" si="2"/>
        <v>8550.0000000000036</v>
      </c>
      <c r="I15" s="181">
        <f t="shared" si="3"/>
        <v>591.5</v>
      </c>
      <c r="J15" s="179"/>
      <c r="K15" s="182">
        <f t="shared" si="4"/>
        <v>1866.0500000000029</v>
      </c>
      <c r="L15" s="180">
        <f t="shared" si="5"/>
        <v>9.6197916666667157E-3</v>
      </c>
      <c r="M15" s="183">
        <f t="shared" si="6"/>
        <v>73.553097345133111</v>
      </c>
      <c r="N15" s="184">
        <f t="shared" si="7"/>
        <v>4.7578947368421041</v>
      </c>
      <c r="O15" s="185">
        <f t="shared" si="14"/>
        <v>6</v>
      </c>
      <c r="P15" s="219"/>
      <c r="Q15" s="187"/>
      <c r="R15" s="407"/>
      <c r="S15" s="228"/>
      <c r="T15" s="244">
        <f t="shared" si="8"/>
        <v>8.4</v>
      </c>
      <c r="U15" s="245">
        <f t="shared" si="9"/>
        <v>8.58</v>
      </c>
      <c r="V15" s="246">
        <f t="shared" si="10"/>
        <v>8.68</v>
      </c>
      <c r="W15" s="247">
        <f t="shared" si="11"/>
        <v>960.8</v>
      </c>
      <c r="X15" s="248">
        <f t="shared" si="12"/>
        <v>591.5</v>
      </c>
      <c r="Y15" s="249">
        <f t="shared" si="13"/>
        <v>519.79999999999995</v>
      </c>
      <c r="Z15" s="236"/>
      <c r="AA15" s="250">
        <f t="shared" si="15"/>
        <v>4</v>
      </c>
      <c r="AB15" s="243">
        <f t="shared" si="16"/>
        <v>6</v>
      </c>
      <c r="AC15" s="251">
        <f t="shared" si="17"/>
        <v>13.333333333333334</v>
      </c>
    </row>
    <row r="16" spans="1:29" ht="14.25">
      <c r="A16" s="148"/>
      <c r="B16" s="188">
        <v>10</v>
      </c>
      <c r="C16" s="189">
        <v>162</v>
      </c>
      <c r="D16" s="190" t="str">
        <f t="shared" si="0"/>
        <v>ﾌｪﾆｯｸｽ</v>
      </c>
      <c r="E16" s="267">
        <f t="shared" si="1"/>
        <v>6.84</v>
      </c>
      <c r="F16" s="191">
        <v>10</v>
      </c>
      <c r="G16" s="192">
        <v>0.54467592592592595</v>
      </c>
      <c r="H16" s="189">
        <f t="shared" si="2"/>
        <v>12860.000000000004</v>
      </c>
      <c r="I16" s="203">
        <f t="shared" si="3"/>
        <v>640.4</v>
      </c>
      <c r="J16" s="191"/>
      <c r="K16" s="205">
        <f t="shared" si="4"/>
        <v>5623.4800000000032</v>
      </c>
      <c r="L16" s="192">
        <f t="shared" si="5"/>
        <v>5.3108564814814865E-2</v>
      </c>
      <c r="M16" s="206">
        <f t="shared" si="6"/>
        <v>406.06902654867292</v>
      </c>
      <c r="N16" s="207">
        <f t="shared" si="7"/>
        <v>3.1632970451010878</v>
      </c>
      <c r="O16" s="208">
        <f t="shared" si="14"/>
        <v>3</v>
      </c>
      <c r="P16" s="260"/>
      <c r="Q16" s="202"/>
      <c r="R16" s="407"/>
      <c r="S16" s="228"/>
      <c r="T16" s="244">
        <f t="shared" si="8"/>
        <v>6.96</v>
      </c>
      <c r="U16" s="245">
        <f t="shared" si="9"/>
        <v>6.84</v>
      </c>
      <c r="V16" s="246">
        <f t="shared" si="10"/>
        <v>6.95</v>
      </c>
      <c r="W16" s="247">
        <f t="shared" si="11"/>
        <v>1024.3</v>
      </c>
      <c r="X16" s="248">
        <f t="shared" si="12"/>
        <v>640.4</v>
      </c>
      <c r="Y16" s="249">
        <f t="shared" si="13"/>
        <v>569.4</v>
      </c>
      <c r="Z16" s="236"/>
      <c r="AA16" s="250">
        <f t="shared" si="15"/>
        <v>2</v>
      </c>
      <c r="AB16" s="243">
        <f t="shared" si="16"/>
        <v>3</v>
      </c>
      <c r="AC16" s="251">
        <f t="shared" si="17"/>
        <v>10</v>
      </c>
    </row>
    <row r="17" spans="1:29" ht="14.25">
      <c r="A17" s="148"/>
      <c r="B17" s="165"/>
      <c r="C17" s="166"/>
      <c r="D17" s="167"/>
      <c r="E17" s="265"/>
      <c r="F17" s="168"/>
      <c r="G17" s="169"/>
      <c r="H17" s="209"/>
      <c r="I17" s="210"/>
      <c r="J17" s="211"/>
      <c r="K17" s="212"/>
      <c r="L17" s="213"/>
      <c r="M17" s="214"/>
      <c r="N17" s="215"/>
      <c r="O17" s="174"/>
      <c r="P17" s="264"/>
      <c r="Q17" s="175"/>
      <c r="R17" s="407"/>
      <c r="S17" s="228"/>
      <c r="T17" s="244" t="str">
        <f t="shared" si="8"/>
        <v/>
      </c>
      <c r="U17" s="245" t="str">
        <f t="shared" si="9"/>
        <v/>
      </c>
      <c r="V17" s="246" t="str">
        <f t="shared" si="10"/>
        <v/>
      </c>
      <c r="W17" s="247" t="str">
        <f t="shared" si="11"/>
        <v/>
      </c>
      <c r="X17" s="248" t="str">
        <f t="shared" si="12"/>
        <v/>
      </c>
      <c r="Y17" s="249" t="str">
        <f t="shared" si="13"/>
        <v/>
      </c>
      <c r="Z17" s="236"/>
      <c r="AA17" s="250" t="str">
        <f t="shared" si="15"/>
        <v/>
      </c>
      <c r="AB17" s="243" t="str">
        <f t="shared" si="16"/>
        <v/>
      </c>
      <c r="AC17" s="251" t="str">
        <f t="shared" si="17"/>
        <v/>
      </c>
    </row>
    <row r="18" spans="1:29" ht="14.25">
      <c r="A18" s="148"/>
      <c r="B18" s="176"/>
      <c r="C18" s="177"/>
      <c r="D18" s="178"/>
      <c r="E18" s="266"/>
      <c r="F18" s="179"/>
      <c r="G18" s="180"/>
      <c r="H18" s="177"/>
      <c r="I18" s="181"/>
      <c r="J18" s="259"/>
      <c r="K18" s="182"/>
      <c r="L18" s="180"/>
      <c r="M18" s="183"/>
      <c r="N18" s="184"/>
      <c r="O18" s="185"/>
      <c r="P18" s="219"/>
      <c r="Q18" s="187"/>
      <c r="R18" s="407"/>
      <c r="S18" s="228"/>
      <c r="T18" s="244" t="str">
        <f t="shared" si="8"/>
        <v/>
      </c>
      <c r="U18" s="245" t="str">
        <f t="shared" si="9"/>
        <v/>
      </c>
      <c r="V18" s="246" t="str">
        <f t="shared" si="10"/>
        <v/>
      </c>
      <c r="W18" s="247" t="str">
        <f t="shared" si="11"/>
        <v/>
      </c>
      <c r="X18" s="248" t="str">
        <f t="shared" si="12"/>
        <v/>
      </c>
      <c r="Y18" s="249" t="str">
        <f t="shared" si="13"/>
        <v/>
      </c>
      <c r="Z18" s="236"/>
      <c r="AA18" s="250" t="str">
        <f t="shared" si="15"/>
        <v/>
      </c>
      <c r="AB18" s="243" t="str">
        <f t="shared" si="16"/>
        <v/>
      </c>
      <c r="AC18" s="251" t="str">
        <f t="shared" si="17"/>
        <v/>
      </c>
    </row>
    <row r="19" spans="1:29" ht="14.25">
      <c r="A19" s="148"/>
      <c r="B19" s="176"/>
      <c r="C19" s="177"/>
      <c r="D19" s="178"/>
      <c r="E19" s="266"/>
      <c r="F19" s="179"/>
      <c r="G19" s="180"/>
      <c r="H19" s="177"/>
      <c r="I19" s="181"/>
      <c r="J19" s="259"/>
      <c r="K19" s="182"/>
      <c r="L19" s="180"/>
      <c r="M19" s="183"/>
      <c r="N19" s="184"/>
      <c r="O19" s="185"/>
      <c r="P19" s="219"/>
      <c r="Q19" s="187"/>
      <c r="R19" s="407"/>
      <c r="S19" s="228"/>
      <c r="T19" s="244" t="str">
        <f t="shared" si="8"/>
        <v/>
      </c>
      <c r="U19" s="245" t="str">
        <f t="shared" si="9"/>
        <v/>
      </c>
      <c r="V19" s="246" t="str">
        <f t="shared" si="10"/>
        <v/>
      </c>
      <c r="W19" s="247" t="str">
        <f t="shared" si="11"/>
        <v/>
      </c>
      <c r="X19" s="248" t="str">
        <f t="shared" si="12"/>
        <v/>
      </c>
      <c r="Y19" s="249" t="str">
        <f t="shared" si="13"/>
        <v/>
      </c>
      <c r="Z19" s="236"/>
      <c r="AA19" s="250" t="str">
        <f t="shared" si="15"/>
        <v/>
      </c>
      <c r="AB19" s="243" t="str">
        <f t="shared" si="16"/>
        <v/>
      </c>
      <c r="AC19" s="251" t="str">
        <f t="shared" si="17"/>
        <v/>
      </c>
    </row>
    <row r="20" spans="1:29" ht="14.25">
      <c r="A20" s="148"/>
      <c r="B20" s="176"/>
      <c r="C20" s="177"/>
      <c r="D20" s="178"/>
      <c r="E20" s="266"/>
      <c r="F20" s="179"/>
      <c r="G20" s="180"/>
      <c r="H20" s="177"/>
      <c r="I20" s="181"/>
      <c r="J20" s="259"/>
      <c r="K20" s="182"/>
      <c r="L20" s="180"/>
      <c r="M20" s="183"/>
      <c r="N20" s="184"/>
      <c r="O20" s="185"/>
      <c r="P20" s="264"/>
      <c r="Q20" s="187"/>
      <c r="R20" s="407"/>
      <c r="S20" s="228"/>
      <c r="T20" s="244" t="str">
        <f t="shared" si="8"/>
        <v/>
      </c>
      <c r="U20" s="245" t="str">
        <f t="shared" si="9"/>
        <v/>
      </c>
      <c r="V20" s="246" t="str">
        <f t="shared" si="10"/>
        <v/>
      </c>
      <c r="W20" s="247" t="str">
        <f t="shared" si="11"/>
        <v/>
      </c>
      <c r="X20" s="248" t="str">
        <f t="shared" si="12"/>
        <v/>
      </c>
      <c r="Y20" s="249" t="str">
        <f t="shared" si="13"/>
        <v/>
      </c>
      <c r="Z20" s="236"/>
      <c r="AA20" s="250" t="str">
        <f t="shared" si="15"/>
        <v/>
      </c>
      <c r="AB20" s="243" t="str">
        <f t="shared" si="16"/>
        <v/>
      </c>
      <c r="AC20" s="251" t="str">
        <f t="shared" si="17"/>
        <v/>
      </c>
    </row>
    <row r="21" spans="1:29" ht="14.25">
      <c r="A21" s="148"/>
      <c r="B21" s="188"/>
      <c r="C21" s="189"/>
      <c r="D21" s="190"/>
      <c r="E21" s="267"/>
      <c r="F21" s="191"/>
      <c r="G21" s="192"/>
      <c r="H21" s="189"/>
      <c r="I21" s="203"/>
      <c r="J21" s="204"/>
      <c r="K21" s="205"/>
      <c r="L21" s="192"/>
      <c r="M21" s="206"/>
      <c r="N21" s="207"/>
      <c r="O21" s="208"/>
      <c r="P21" s="260"/>
      <c r="Q21" s="202"/>
      <c r="R21" s="407"/>
      <c r="S21" s="228"/>
      <c r="T21" s="244" t="str">
        <f t="shared" si="8"/>
        <v/>
      </c>
      <c r="U21" s="245" t="str">
        <f t="shared" si="9"/>
        <v/>
      </c>
      <c r="V21" s="246" t="str">
        <f t="shared" si="10"/>
        <v/>
      </c>
      <c r="W21" s="247" t="str">
        <f t="shared" si="11"/>
        <v/>
      </c>
      <c r="X21" s="248" t="str">
        <f t="shared" si="12"/>
        <v/>
      </c>
      <c r="Y21" s="249" t="str">
        <f t="shared" si="13"/>
        <v/>
      </c>
      <c r="Z21" s="236"/>
      <c r="AA21" s="250" t="str">
        <f t="shared" si="15"/>
        <v/>
      </c>
      <c r="AB21" s="243" t="str">
        <f t="shared" si="16"/>
        <v/>
      </c>
      <c r="AC21" s="251" t="str">
        <f t="shared" si="17"/>
        <v/>
      </c>
    </row>
    <row r="22" spans="1:29" ht="14.25">
      <c r="A22" s="148"/>
      <c r="B22" s="217"/>
      <c r="C22" s="268"/>
      <c r="D22" s="222"/>
      <c r="E22" s="211"/>
      <c r="F22" s="211"/>
      <c r="G22" s="213"/>
      <c r="H22" s="209"/>
      <c r="I22" s="210"/>
      <c r="J22" s="211"/>
      <c r="K22" s="212"/>
      <c r="L22" s="213"/>
      <c r="M22" s="214"/>
      <c r="N22" s="215"/>
      <c r="O22" s="216"/>
      <c r="P22" s="269"/>
      <c r="Q22" s="218"/>
      <c r="R22" s="407"/>
      <c r="S22" s="228"/>
      <c r="T22" s="244" t="str">
        <f t="shared" si="8"/>
        <v/>
      </c>
      <c r="U22" s="245" t="str">
        <f t="shared" si="9"/>
        <v/>
      </c>
      <c r="V22" s="246" t="str">
        <f t="shared" si="10"/>
        <v/>
      </c>
      <c r="W22" s="247" t="str">
        <f t="shared" si="11"/>
        <v/>
      </c>
      <c r="X22" s="248" t="str">
        <f t="shared" si="12"/>
        <v/>
      </c>
      <c r="Y22" s="249" t="str">
        <f t="shared" si="13"/>
        <v/>
      </c>
      <c r="Z22" s="236"/>
      <c r="AA22" s="250" t="str">
        <f t="shared" si="15"/>
        <v/>
      </c>
      <c r="AB22" s="243" t="str">
        <f t="shared" si="16"/>
        <v/>
      </c>
      <c r="AC22" s="251" t="str">
        <f t="shared" si="17"/>
        <v/>
      </c>
    </row>
    <row r="23" spans="1:29" ht="14.25">
      <c r="A23" s="148"/>
      <c r="B23" s="176"/>
      <c r="C23" s="177"/>
      <c r="D23" s="178" t="str">
        <f>IF(ISBLANK(C23),"",VLOOKUP(C23,各艇データ,2,FALSE))</f>
        <v/>
      </c>
      <c r="E23" s="179"/>
      <c r="F23" s="179"/>
      <c r="G23" s="180"/>
      <c r="H23" s="177"/>
      <c r="I23" s="181"/>
      <c r="J23" s="179"/>
      <c r="K23" s="182"/>
      <c r="L23" s="180"/>
      <c r="M23" s="183"/>
      <c r="N23" s="184"/>
      <c r="O23" s="185"/>
      <c r="P23" s="219"/>
      <c r="Q23" s="187"/>
      <c r="R23" s="407"/>
      <c r="S23" s="228"/>
      <c r="T23" s="244" t="str">
        <f t="shared" si="8"/>
        <v/>
      </c>
      <c r="U23" s="245" t="str">
        <f t="shared" si="9"/>
        <v/>
      </c>
      <c r="V23" s="246" t="str">
        <f t="shared" si="10"/>
        <v/>
      </c>
      <c r="W23" s="247" t="str">
        <f t="shared" si="11"/>
        <v/>
      </c>
      <c r="X23" s="248" t="str">
        <f t="shared" si="12"/>
        <v/>
      </c>
      <c r="Y23" s="249" t="str">
        <f t="shared" si="13"/>
        <v/>
      </c>
      <c r="Z23" s="236"/>
      <c r="AA23" s="250" t="str">
        <f t="shared" si="15"/>
        <v/>
      </c>
      <c r="AB23" s="243" t="str">
        <f t="shared" si="16"/>
        <v/>
      </c>
      <c r="AC23" s="251" t="str">
        <f t="shared" si="17"/>
        <v/>
      </c>
    </row>
    <row r="24" spans="1:29" ht="14.25">
      <c r="A24" s="148"/>
      <c r="B24" s="217"/>
      <c r="C24" s="177"/>
      <c r="D24" s="222"/>
      <c r="E24" s="179"/>
      <c r="F24" s="179"/>
      <c r="G24" s="180"/>
      <c r="H24" s="177"/>
      <c r="I24" s="181"/>
      <c r="J24" s="179"/>
      <c r="K24" s="182"/>
      <c r="L24" s="180"/>
      <c r="M24" s="183"/>
      <c r="N24" s="184"/>
      <c r="O24" s="185"/>
      <c r="P24" s="220"/>
      <c r="Q24" s="187"/>
      <c r="R24" s="407"/>
      <c r="S24" s="228"/>
      <c r="T24" s="244" t="str">
        <f t="shared" si="8"/>
        <v/>
      </c>
      <c r="U24" s="245" t="str">
        <f t="shared" si="9"/>
        <v/>
      </c>
      <c r="V24" s="246" t="str">
        <f t="shared" si="10"/>
        <v/>
      </c>
      <c r="W24" s="247" t="str">
        <f t="shared" si="11"/>
        <v/>
      </c>
      <c r="X24" s="248" t="str">
        <f t="shared" si="12"/>
        <v/>
      </c>
      <c r="Y24" s="249" t="str">
        <f t="shared" si="13"/>
        <v/>
      </c>
      <c r="Z24" s="236"/>
      <c r="AA24" s="250" t="str">
        <f t="shared" si="15"/>
        <v/>
      </c>
      <c r="AB24" s="243" t="str">
        <f t="shared" si="16"/>
        <v/>
      </c>
      <c r="AC24" s="251" t="str">
        <f t="shared" si="17"/>
        <v/>
      </c>
    </row>
    <row r="25" spans="1:29" ht="14.25">
      <c r="A25" s="148"/>
      <c r="B25" s="176"/>
      <c r="C25" s="177"/>
      <c r="D25" s="178" t="str">
        <f t="shared" ref="D25:D31" si="18">IF(ISBLANK(C25),"",VLOOKUP(C25,各艇データ,2,FALSE))</f>
        <v/>
      </c>
      <c r="E25" s="179"/>
      <c r="F25" s="179"/>
      <c r="G25" s="180"/>
      <c r="H25" s="177"/>
      <c r="I25" s="181"/>
      <c r="J25" s="179"/>
      <c r="K25" s="182"/>
      <c r="L25" s="180"/>
      <c r="M25" s="183"/>
      <c r="N25" s="184"/>
      <c r="O25" s="185"/>
      <c r="P25" s="220"/>
      <c r="Q25" s="187"/>
      <c r="R25" s="407"/>
      <c r="S25" s="228"/>
      <c r="T25" s="244" t="str">
        <f t="shared" si="8"/>
        <v/>
      </c>
      <c r="U25" s="245" t="str">
        <f t="shared" si="9"/>
        <v/>
      </c>
      <c r="V25" s="246" t="str">
        <f t="shared" si="10"/>
        <v/>
      </c>
      <c r="W25" s="247" t="str">
        <f t="shared" si="11"/>
        <v/>
      </c>
      <c r="X25" s="248" t="str">
        <f t="shared" si="12"/>
        <v/>
      </c>
      <c r="Y25" s="249" t="str">
        <f t="shared" si="13"/>
        <v/>
      </c>
      <c r="Z25" s="236"/>
      <c r="AA25" s="250" t="str">
        <f t="shared" si="15"/>
        <v/>
      </c>
      <c r="AB25" s="243" t="str">
        <f t="shared" si="16"/>
        <v/>
      </c>
      <c r="AC25" s="251" t="str">
        <f t="shared" si="17"/>
        <v/>
      </c>
    </row>
    <row r="26" spans="1:29" ht="14.25">
      <c r="A26" s="148"/>
      <c r="B26" s="188"/>
      <c r="C26" s="189"/>
      <c r="D26" s="190" t="str">
        <f t="shared" si="18"/>
        <v/>
      </c>
      <c r="E26" s="191"/>
      <c r="F26" s="191"/>
      <c r="G26" s="192"/>
      <c r="H26" s="189" t="str">
        <f>IFERROR(IF(G26-$Q$2&lt;=0,"",(G26-$Q$2)*86400),"")</f>
        <v/>
      </c>
      <c r="I26" s="203" t="str">
        <f>IF($I$6="Ⅰ",W26,IF($I$6="Ⅱ",X26,IF($I$6="Ⅲ",Y26,"")))</f>
        <v/>
      </c>
      <c r="J26" s="191"/>
      <c r="K26" s="205" t="str">
        <f>IFERROR(H26*(1+0.01*J26)-I26*$N$3,"")</f>
        <v/>
      </c>
      <c r="L26" s="192" t="str">
        <f>IFERROR((K26-$K$7)/86400,"")</f>
        <v/>
      </c>
      <c r="M26" s="206" t="str">
        <f>IFERROR((K26-$K$7)/$N$3,"")</f>
        <v/>
      </c>
      <c r="N26" s="207" t="str">
        <f>IFERROR($N$3/(H26/3600),"")</f>
        <v/>
      </c>
      <c r="O26" s="208" t="str">
        <f>IF($O$6="MAX=20",AA26,IF($O$6="MAX=30",AB26,IF($O$6="MAX=40",AC26,"")))</f>
        <v/>
      </c>
      <c r="P26" s="221"/>
      <c r="Q26" s="202"/>
      <c r="R26" s="407"/>
      <c r="S26" s="228"/>
      <c r="T26" s="244" t="str">
        <f t="shared" si="8"/>
        <v/>
      </c>
      <c r="U26" s="245" t="str">
        <f t="shared" si="9"/>
        <v/>
      </c>
      <c r="V26" s="246" t="str">
        <f t="shared" si="10"/>
        <v/>
      </c>
      <c r="W26" s="247" t="str">
        <f t="shared" si="11"/>
        <v/>
      </c>
      <c r="X26" s="248" t="str">
        <f t="shared" si="12"/>
        <v/>
      </c>
      <c r="Y26" s="249" t="str">
        <f t="shared" si="13"/>
        <v/>
      </c>
      <c r="Z26" s="236"/>
      <c r="AA26" s="250" t="str">
        <f t="shared" si="15"/>
        <v/>
      </c>
      <c r="AB26" s="243" t="str">
        <f t="shared" si="16"/>
        <v/>
      </c>
      <c r="AC26" s="251" t="str">
        <f t="shared" si="17"/>
        <v/>
      </c>
    </row>
    <row r="27" spans="1:29"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407"/>
      <c r="S27" s="228"/>
      <c r="T27" s="244" t="str">
        <f t="shared" si="8"/>
        <v/>
      </c>
      <c r="U27" s="245" t="str">
        <f t="shared" si="9"/>
        <v/>
      </c>
      <c r="V27" s="246" t="str">
        <f t="shared" si="10"/>
        <v/>
      </c>
      <c r="W27" s="247" t="str">
        <f t="shared" si="11"/>
        <v/>
      </c>
      <c r="X27" s="248" t="str">
        <f t="shared" si="12"/>
        <v/>
      </c>
      <c r="Y27" s="249" t="str">
        <f t="shared" si="13"/>
        <v/>
      </c>
      <c r="Z27" s="236"/>
      <c r="AA27" s="250" t="str">
        <f t="shared" si="15"/>
        <v/>
      </c>
      <c r="AB27" s="243" t="str">
        <f t="shared" si="16"/>
        <v/>
      </c>
      <c r="AC27" s="251" t="str">
        <f t="shared" si="17"/>
        <v/>
      </c>
    </row>
    <row r="28" spans="1:29" ht="14.25" customHeight="1">
      <c r="A28" s="148"/>
      <c r="B28" s="176"/>
      <c r="C28" s="177"/>
      <c r="D28" s="178" t="str">
        <f t="shared" si="18"/>
        <v/>
      </c>
      <c r="E28" s="179"/>
      <c r="F28" s="179"/>
      <c r="G28" s="180"/>
      <c r="H28" s="177"/>
      <c r="I28" s="181"/>
      <c r="J28" s="179"/>
      <c r="K28" s="182"/>
      <c r="L28" s="180"/>
      <c r="M28" s="183"/>
      <c r="N28" s="184"/>
      <c r="O28" s="185"/>
      <c r="P28" s="224"/>
      <c r="Q28" s="187"/>
      <c r="R28" s="407"/>
      <c r="S28" s="228"/>
      <c r="T28" s="244" t="str">
        <f t="shared" si="8"/>
        <v/>
      </c>
      <c r="U28" s="245" t="str">
        <f t="shared" si="9"/>
        <v/>
      </c>
      <c r="V28" s="246" t="str">
        <f t="shared" si="10"/>
        <v/>
      </c>
      <c r="W28" s="247" t="str">
        <f t="shared" si="11"/>
        <v/>
      </c>
      <c r="X28" s="248" t="str">
        <f t="shared" si="12"/>
        <v/>
      </c>
      <c r="Y28" s="249" t="str">
        <f t="shared" si="13"/>
        <v/>
      </c>
      <c r="Z28" s="236"/>
      <c r="AA28" s="250" t="str">
        <f t="shared" si="15"/>
        <v/>
      </c>
      <c r="AB28" s="243" t="str">
        <f t="shared" si="16"/>
        <v/>
      </c>
      <c r="AC28" s="251" t="str">
        <f t="shared" si="17"/>
        <v/>
      </c>
    </row>
    <row r="29" spans="1:29" ht="14.25">
      <c r="A29" s="148"/>
      <c r="B29" s="176"/>
      <c r="C29" s="177"/>
      <c r="D29" s="178" t="str">
        <f t="shared" si="18"/>
        <v/>
      </c>
      <c r="E29" s="179"/>
      <c r="F29" s="179"/>
      <c r="G29" s="180"/>
      <c r="H29" s="177"/>
      <c r="I29" s="181"/>
      <c r="J29" s="179"/>
      <c r="K29" s="182"/>
      <c r="L29" s="180"/>
      <c r="M29" s="183"/>
      <c r="N29" s="184"/>
      <c r="O29" s="185"/>
      <c r="P29" s="220"/>
      <c r="Q29" s="187"/>
      <c r="R29" s="407"/>
      <c r="S29" s="228"/>
      <c r="T29" s="244" t="str">
        <f t="shared" si="8"/>
        <v/>
      </c>
      <c r="U29" s="245" t="str">
        <f t="shared" si="9"/>
        <v/>
      </c>
      <c r="V29" s="246" t="str">
        <f t="shared" si="10"/>
        <v/>
      </c>
      <c r="W29" s="247" t="str">
        <f t="shared" si="11"/>
        <v/>
      </c>
      <c r="X29" s="248" t="str">
        <f t="shared" si="12"/>
        <v/>
      </c>
      <c r="Y29" s="249" t="str">
        <f t="shared" si="13"/>
        <v/>
      </c>
      <c r="Z29" s="236"/>
      <c r="AA29" s="250" t="str">
        <f t="shared" si="15"/>
        <v/>
      </c>
      <c r="AB29" s="243" t="str">
        <f t="shared" si="16"/>
        <v/>
      </c>
      <c r="AC29" s="251" t="str">
        <f t="shared" si="17"/>
        <v/>
      </c>
    </row>
    <row r="30" spans="1:29" ht="14.25" customHeight="1">
      <c r="A30" s="148"/>
      <c r="B30" s="176"/>
      <c r="C30" s="177"/>
      <c r="D30" s="178" t="str">
        <f t="shared" si="18"/>
        <v/>
      </c>
      <c r="E30" s="179"/>
      <c r="F30" s="179"/>
      <c r="G30" s="180"/>
      <c r="H30" s="177"/>
      <c r="I30" s="181"/>
      <c r="J30" s="179"/>
      <c r="K30" s="182"/>
      <c r="L30" s="180"/>
      <c r="M30" s="183"/>
      <c r="N30" s="184"/>
      <c r="O30" s="185"/>
      <c r="P30" s="220"/>
      <c r="Q30" s="187"/>
      <c r="R30" s="407"/>
      <c r="S30" s="228"/>
      <c r="T30" s="244" t="str">
        <f t="shared" si="8"/>
        <v/>
      </c>
      <c r="U30" s="245" t="str">
        <f t="shared" si="9"/>
        <v/>
      </c>
      <c r="V30" s="246" t="str">
        <f t="shared" si="10"/>
        <v/>
      </c>
      <c r="W30" s="247" t="str">
        <f t="shared" si="11"/>
        <v/>
      </c>
      <c r="X30" s="248" t="str">
        <f t="shared" si="12"/>
        <v/>
      </c>
      <c r="Y30" s="249" t="str">
        <f t="shared" si="13"/>
        <v/>
      </c>
      <c r="Z30" s="236"/>
      <c r="AA30" s="250" t="str">
        <f t="shared" si="15"/>
        <v/>
      </c>
      <c r="AB30" s="243" t="str">
        <f t="shared" si="16"/>
        <v/>
      </c>
      <c r="AC30" s="251" t="str">
        <f t="shared" si="17"/>
        <v/>
      </c>
    </row>
    <row r="31" spans="1:29" ht="15" thickBot="1">
      <c r="A31" s="148"/>
      <c r="B31" s="176"/>
      <c r="C31" s="177"/>
      <c r="D31" s="190" t="str">
        <f t="shared" si="18"/>
        <v/>
      </c>
      <c r="E31" s="191"/>
      <c r="F31" s="179"/>
      <c r="G31" s="180"/>
      <c r="H31" s="189" t="str">
        <f>IFERROR(IF(G31-$Q$2&lt;=0,"",(G31-$Q$2)*86400),"")</f>
        <v/>
      </c>
      <c r="I31" s="203" t="str">
        <f>IF($I$6="Ⅰ",W31,IF($I$6="Ⅱ",X31,IF($I$6="Ⅲ",Y31,"")))</f>
        <v/>
      </c>
      <c r="J31" s="191"/>
      <c r="K31" s="205" t="str">
        <f>IFERROR(H31*(1+0.01*J31)-I31*$N$3,"")</f>
        <v/>
      </c>
      <c r="L31" s="192" t="str">
        <f>IFERROR((K31-$K$7)/86400,"")</f>
        <v/>
      </c>
      <c r="M31" s="206" t="str">
        <f>IFERROR((K31-$K$7)/$N$3,"")</f>
        <v/>
      </c>
      <c r="N31" s="207" t="str">
        <f>IFERROR($N$3/(H31/3600),"")</f>
        <v/>
      </c>
      <c r="O31" s="208" t="str">
        <f>IF($O$6="MAX=20",AA31,IF($O$6="MAX=30",AB31,IF($O$6="MAX=40",AC31,"")))</f>
        <v/>
      </c>
      <c r="P31" s="221"/>
      <c r="Q31" s="202"/>
      <c r="R31" s="407"/>
      <c r="S31" s="228"/>
      <c r="T31" s="252" t="str">
        <f t="shared" si="8"/>
        <v/>
      </c>
      <c r="U31" s="253" t="str">
        <f t="shared" si="9"/>
        <v/>
      </c>
      <c r="V31" s="254" t="str">
        <f t="shared" si="10"/>
        <v/>
      </c>
      <c r="W31" s="255" t="str">
        <f t="shared" si="11"/>
        <v/>
      </c>
      <c r="X31" s="256" t="str">
        <f t="shared" si="12"/>
        <v/>
      </c>
      <c r="Y31" s="257" t="str">
        <f t="shared" si="13"/>
        <v/>
      </c>
      <c r="Z31" s="236"/>
      <c r="AA31" s="261" t="str">
        <f t="shared" si="15"/>
        <v/>
      </c>
      <c r="AB31" s="262" t="str">
        <f t="shared" si="16"/>
        <v/>
      </c>
      <c r="AC31" s="263" t="str">
        <f t="shared" si="17"/>
        <v/>
      </c>
    </row>
    <row r="32" spans="1:29" ht="15" customHeight="1">
      <c r="A32" s="148"/>
      <c r="B32" s="442" t="s">
        <v>264</v>
      </c>
      <c r="C32" s="443"/>
      <c r="D32" s="444"/>
      <c r="E32" s="225" t="s">
        <v>184</v>
      </c>
      <c r="F32" s="451" t="s">
        <v>396</v>
      </c>
      <c r="G32" s="452"/>
      <c r="H32" s="453" t="s">
        <v>397</v>
      </c>
      <c r="I32" s="454"/>
      <c r="J32" s="454"/>
      <c r="K32" s="454"/>
      <c r="L32" s="454"/>
      <c r="M32" s="454"/>
      <c r="N32" s="454"/>
      <c r="O32" s="454"/>
      <c r="P32" s="454"/>
      <c r="Q32" s="455"/>
      <c r="R32" s="408"/>
      <c r="S32" s="139"/>
      <c r="T32" s="231"/>
      <c r="U32" s="231"/>
      <c r="V32" s="231"/>
      <c r="Y32" s="231"/>
      <c r="Z32" s="231"/>
    </row>
    <row r="33" spans="1:26" ht="15" customHeight="1">
      <c r="A33" s="148"/>
      <c r="B33" s="445"/>
      <c r="C33" s="446"/>
      <c r="D33" s="447"/>
      <c r="E33" s="226" t="s">
        <v>185</v>
      </c>
      <c r="F33" s="462" t="s">
        <v>394</v>
      </c>
      <c r="G33" s="463"/>
      <c r="H33" s="456"/>
      <c r="I33" s="457"/>
      <c r="J33" s="457"/>
      <c r="K33" s="457"/>
      <c r="L33" s="457"/>
      <c r="M33" s="457"/>
      <c r="N33" s="457"/>
      <c r="O33" s="457"/>
      <c r="P33" s="457"/>
      <c r="Q33" s="458"/>
      <c r="R33" s="408"/>
      <c r="S33" s="139"/>
      <c r="T33" s="231"/>
      <c r="U33" s="231"/>
      <c r="V33" s="231"/>
      <c r="Y33" s="231"/>
      <c r="Z33" s="231"/>
    </row>
    <row r="34" spans="1:26" ht="23.25" customHeight="1">
      <c r="A34" s="148"/>
      <c r="B34" s="448"/>
      <c r="C34" s="449"/>
      <c r="D34" s="450"/>
      <c r="E34" s="226" t="s">
        <v>186</v>
      </c>
      <c r="F34" s="462" t="s">
        <v>395</v>
      </c>
      <c r="G34" s="463"/>
      <c r="H34" s="456"/>
      <c r="I34" s="457"/>
      <c r="J34" s="457"/>
      <c r="K34" s="457"/>
      <c r="L34" s="457"/>
      <c r="M34" s="457"/>
      <c r="N34" s="457"/>
      <c r="O34" s="457"/>
      <c r="P34" s="457"/>
      <c r="Q34" s="458"/>
      <c r="R34" s="408"/>
      <c r="S34" s="139"/>
      <c r="T34" s="231"/>
      <c r="U34" s="231"/>
      <c r="V34" s="231"/>
      <c r="Y34" s="231"/>
      <c r="Z34" s="231"/>
    </row>
    <row r="35" spans="1:26" ht="22.5" customHeight="1">
      <c r="A35" s="148"/>
      <c r="B35" s="464" t="s">
        <v>265</v>
      </c>
      <c r="C35" s="465"/>
      <c r="D35" s="466"/>
      <c r="E35" s="436" t="s">
        <v>188</v>
      </c>
      <c r="F35" s="462" t="str">
        <f>参照ﾃﾞｰﾀ!AL13</f>
        <v>アイデアル</v>
      </c>
      <c r="G35" s="463"/>
      <c r="H35" s="456"/>
      <c r="I35" s="457"/>
      <c r="J35" s="457"/>
      <c r="K35" s="457"/>
      <c r="L35" s="457"/>
      <c r="M35" s="457"/>
      <c r="N35" s="457"/>
      <c r="O35" s="457"/>
      <c r="P35" s="457"/>
      <c r="Q35" s="458"/>
      <c r="R35" s="408"/>
      <c r="S35" s="139"/>
      <c r="T35" s="231"/>
      <c r="U35" s="231"/>
      <c r="V35" s="231"/>
      <c r="Y35" s="231"/>
      <c r="Z35" s="231"/>
    </row>
    <row r="36" spans="1:26" ht="15" customHeight="1">
      <c r="A36" s="148"/>
      <c r="B36" s="467"/>
      <c r="C36" s="468"/>
      <c r="D36" s="469"/>
      <c r="E36" s="475"/>
      <c r="F36" s="462"/>
      <c r="G36" s="463"/>
      <c r="H36" s="456"/>
      <c r="I36" s="457"/>
      <c r="J36" s="457"/>
      <c r="K36" s="457"/>
      <c r="L36" s="457"/>
      <c r="M36" s="457"/>
      <c r="N36" s="457"/>
      <c r="O36" s="457"/>
      <c r="P36" s="457"/>
      <c r="Q36" s="458"/>
      <c r="R36" s="408"/>
      <c r="S36" s="139"/>
      <c r="T36" s="231"/>
      <c r="U36" s="231"/>
      <c r="V36" s="231"/>
      <c r="Y36" s="231"/>
      <c r="Z36" s="231"/>
    </row>
    <row r="37" spans="1:26" ht="15" customHeight="1">
      <c r="A37" s="148"/>
      <c r="B37" s="467"/>
      <c r="C37" s="468"/>
      <c r="D37" s="469"/>
      <c r="E37" s="225" t="s">
        <v>187</v>
      </c>
      <c r="F37" s="476">
        <v>43758</v>
      </c>
      <c r="G37" s="452"/>
      <c r="H37" s="456"/>
      <c r="I37" s="457"/>
      <c r="J37" s="457"/>
      <c r="K37" s="457"/>
      <c r="L37" s="457"/>
      <c r="M37" s="457"/>
      <c r="N37" s="457"/>
      <c r="O37" s="457"/>
      <c r="P37" s="457"/>
      <c r="Q37" s="458"/>
      <c r="R37" s="408"/>
      <c r="S37" s="139"/>
      <c r="T37" s="231"/>
      <c r="U37" s="231"/>
      <c r="V37" s="231"/>
      <c r="Y37" s="231"/>
      <c r="Z37" s="231"/>
    </row>
    <row r="38" spans="1:26" ht="15" customHeight="1">
      <c r="A38" s="148"/>
      <c r="B38" s="467"/>
      <c r="C38" s="468"/>
      <c r="D38" s="469"/>
      <c r="E38" s="226" t="s">
        <v>200</v>
      </c>
      <c r="F38" s="462" t="s">
        <v>74</v>
      </c>
      <c r="G38" s="463"/>
      <c r="H38" s="456"/>
      <c r="I38" s="457"/>
      <c r="J38" s="457"/>
      <c r="K38" s="457"/>
      <c r="L38" s="457"/>
      <c r="M38" s="457"/>
      <c r="N38" s="457"/>
      <c r="O38" s="457"/>
      <c r="P38" s="457"/>
      <c r="Q38" s="458"/>
      <c r="R38" s="408"/>
      <c r="S38" s="139"/>
      <c r="T38" s="231"/>
      <c r="U38" s="231"/>
      <c r="V38" s="231"/>
      <c r="Y38" s="231"/>
      <c r="Z38" s="231"/>
    </row>
    <row r="39" spans="1:26" ht="15" customHeight="1">
      <c r="A39" s="148"/>
      <c r="B39" s="467"/>
      <c r="C39" s="468"/>
      <c r="D39" s="469"/>
      <c r="E39" s="436" t="s">
        <v>188</v>
      </c>
      <c r="F39" s="462" t="str">
        <f>参照ﾃﾞｰﾀ!AL14</f>
        <v>ネプチューン</v>
      </c>
      <c r="G39" s="463"/>
      <c r="H39" s="456"/>
      <c r="I39" s="457"/>
      <c r="J39" s="457"/>
      <c r="K39" s="457"/>
      <c r="L39" s="457"/>
      <c r="M39" s="457"/>
      <c r="N39" s="457"/>
      <c r="O39" s="457"/>
      <c r="P39" s="457"/>
      <c r="Q39" s="458"/>
      <c r="R39" s="408"/>
      <c r="S39" s="139"/>
      <c r="T39" s="231"/>
      <c r="U39" s="231"/>
      <c r="V39" s="231"/>
      <c r="Y39" s="231"/>
      <c r="Z39" s="231"/>
    </row>
    <row r="40" spans="1:26" ht="15" customHeight="1">
      <c r="A40" s="148"/>
      <c r="B40" s="467"/>
      <c r="C40" s="468"/>
      <c r="D40" s="469"/>
      <c r="E40" s="436"/>
      <c r="F40" s="462"/>
      <c r="G40" s="463"/>
      <c r="H40" s="456"/>
      <c r="I40" s="457"/>
      <c r="J40" s="457"/>
      <c r="K40" s="457"/>
      <c r="L40" s="457"/>
      <c r="M40" s="457"/>
      <c r="N40" s="457"/>
      <c r="O40" s="457"/>
      <c r="P40" s="457"/>
      <c r="Q40" s="458"/>
      <c r="R40" s="408"/>
      <c r="S40" s="139"/>
      <c r="T40" s="231"/>
      <c r="U40" s="231"/>
      <c r="V40" s="231"/>
      <c r="Y40" s="231"/>
      <c r="Z40" s="231"/>
    </row>
    <row r="41" spans="1:26" ht="11.25" customHeight="1" thickBot="1">
      <c r="A41" s="148"/>
      <c r="B41" s="470"/>
      <c r="C41" s="471"/>
      <c r="D41" s="472"/>
      <c r="E41" s="227"/>
      <c r="F41" s="473"/>
      <c r="G41" s="474"/>
      <c r="H41" s="459"/>
      <c r="I41" s="460"/>
      <c r="J41" s="460"/>
      <c r="K41" s="460"/>
      <c r="L41" s="460"/>
      <c r="M41" s="460"/>
      <c r="N41" s="460"/>
      <c r="O41" s="460"/>
      <c r="P41" s="460"/>
      <c r="Q41" s="461"/>
      <c r="R41" s="408"/>
      <c r="S41" s="139"/>
      <c r="T41" s="231"/>
      <c r="U41" s="231"/>
      <c r="V41" s="231"/>
      <c r="W41" s="231"/>
      <c r="X41" s="231"/>
      <c r="Y41" s="231"/>
      <c r="Z41" s="231"/>
    </row>
    <row r="42" spans="1:26">
      <c r="A42" s="148"/>
      <c r="B42" s="148"/>
      <c r="C42" s="148"/>
      <c r="D42" s="148"/>
      <c r="E42" s="148"/>
      <c r="F42" s="148"/>
      <c r="G42" s="148"/>
      <c r="H42" s="148"/>
      <c r="I42" s="148"/>
      <c r="J42" s="148"/>
      <c r="K42" s="148"/>
      <c r="L42" s="148"/>
      <c r="M42" s="148"/>
      <c r="N42" s="148"/>
      <c r="O42" s="148"/>
      <c r="P42" s="148"/>
      <c r="Q42" s="148"/>
      <c r="R42" s="148"/>
      <c r="S42" s="148"/>
    </row>
  </sheetData>
  <sheetProtection algorithmName="SHA-512" hashValue="W0pqz6FybRDdbZ28CG1um6EjPJCa2p5QWC/V5itVw75JV2UZPsJz1fDiWIx2wC88ius0Ti3seTCOAf73EjEk1g==" saltValue="lIsTW1VgOkYr1qD/OOYa6Q==" spinCount="100000" sheet="1" objects="1" scenarios="1"/>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R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G13" sqref="G13 Q2"/>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875" style="230" customWidth="1"/>
    <col min="13" max="13" width="9.5" style="230" customWidth="1"/>
    <col min="14" max="14" width="7.875" style="230" customWidth="1"/>
    <col min="15" max="15" width="8" style="230" customWidth="1"/>
    <col min="16" max="16" width="12" style="230" bestFit="1" customWidth="1"/>
    <col min="17" max="17" width="11.625" style="230" customWidth="1"/>
    <col min="18" max="19" width="2.5" style="230" customWidth="1"/>
    <col min="20" max="22" width="7.625" style="230" customWidth="1"/>
    <col min="23" max="23" width="8.25" style="230" customWidth="1"/>
    <col min="24" max="25" width="7.625" style="230" customWidth="1"/>
    <col min="26" max="26" width="4.5" style="230" customWidth="1"/>
    <col min="27" max="29" width="8" style="230" customWidth="1"/>
    <col min="30" max="16384" width="9" style="230"/>
  </cols>
  <sheetData>
    <row r="1" spans="1:29" ht="9.75" customHeight="1" thickBot="1">
      <c r="A1" s="148"/>
      <c r="B1" s="148"/>
      <c r="C1" s="148"/>
      <c r="D1" s="148"/>
      <c r="E1" s="148"/>
      <c r="F1" s="148"/>
      <c r="G1" s="148"/>
      <c r="H1" s="148"/>
      <c r="I1" s="148"/>
      <c r="J1" s="148"/>
      <c r="K1" s="148"/>
      <c r="L1" s="148"/>
      <c r="M1" s="148"/>
      <c r="N1" s="148"/>
      <c r="O1" s="148"/>
      <c r="P1" s="148"/>
      <c r="Q1" s="148"/>
      <c r="R1" s="148"/>
      <c r="S1" s="148"/>
    </row>
    <row r="2" spans="1:29" ht="21">
      <c r="A2" s="148"/>
      <c r="B2" s="139"/>
      <c r="C2" s="140"/>
      <c r="D2" s="437" t="str">
        <f>参照ﾃﾞｰﾀ!P4</f>
        <v>2019年</v>
      </c>
      <c r="E2" s="437"/>
      <c r="F2" s="437"/>
      <c r="G2" s="141" t="s">
        <v>197</v>
      </c>
      <c r="H2" s="142"/>
      <c r="I2" s="143"/>
      <c r="J2" s="139"/>
      <c r="K2" s="144"/>
      <c r="L2" s="139"/>
      <c r="M2" s="145" t="s">
        <v>52</v>
      </c>
      <c r="N2" s="146" t="s">
        <v>74</v>
      </c>
      <c r="O2" s="147" t="s">
        <v>54</v>
      </c>
      <c r="P2" s="280">
        <v>43758</v>
      </c>
      <c r="Q2" s="281">
        <v>0.4375</v>
      </c>
      <c r="R2" s="139"/>
      <c r="S2" s="139"/>
      <c r="T2" s="232" t="s">
        <v>2</v>
      </c>
      <c r="U2" s="231"/>
      <c r="V2" s="231"/>
      <c r="W2" s="231"/>
      <c r="X2" s="231"/>
      <c r="Y2" s="231"/>
      <c r="Z2" s="231"/>
    </row>
    <row r="3" spans="1:29" ht="21.75" customHeight="1" thickBot="1">
      <c r="A3" s="148"/>
      <c r="B3" s="139"/>
      <c r="C3" s="148"/>
      <c r="D3" s="400" t="s">
        <v>249</v>
      </c>
      <c r="E3" s="438" t="s">
        <v>64</v>
      </c>
      <c r="F3" s="438"/>
      <c r="G3" s="438"/>
      <c r="H3" s="438"/>
      <c r="I3" s="438"/>
      <c r="J3" s="439" t="s">
        <v>86</v>
      </c>
      <c r="K3" s="439"/>
      <c r="L3" s="139"/>
      <c r="M3" s="150" t="s">
        <v>75</v>
      </c>
      <c r="N3" s="151">
        <f>IF(ISBLANK(N2),"",VLOOKUP(N2,コース・距離,2,FALSE))</f>
        <v>11.3</v>
      </c>
      <c r="O3" s="152" t="s">
        <v>0</v>
      </c>
      <c r="P3" s="153">
        <v>11</v>
      </c>
      <c r="Q3" s="154" t="s">
        <v>1</v>
      </c>
      <c r="R3" s="139"/>
      <c r="S3" s="139"/>
      <c r="T3" s="231" t="s">
        <v>234</v>
      </c>
      <c r="U3" s="231"/>
      <c r="V3" s="231"/>
      <c r="W3" s="232" t="s">
        <v>2</v>
      </c>
      <c r="X3" s="231"/>
      <c r="Y3" s="231"/>
      <c r="Z3" s="231"/>
      <c r="AA3" s="233" t="s">
        <v>76</v>
      </c>
    </row>
    <row r="4" spans="1:29" ht="7.5" customHeight="1" thickBot="1">
      <c r="A4" s="148"/>
      <c r="B4" s="139"/>
      <c r="C4" s="139"/>
      <c r="D4" s="139"/>
      <c r="E4" s="139"/>
      <c r="F4" s="139"/>
      <c r="G4" s="139"/>
      <c r="H4" s="139"/>
      <c r="I4" s="139"/>
      <c r="J4" s="139"/>
      <c r="K4" s="139"/>
      <c r="L4" s="139"/>
      <c r="M4" s="139"/>
      <c r="N4" s="139"/>
      <c r="O4" s="139"/>
      <c r="P4" s="139"/>
      <c r="Q4" s="139"/>
      <c r="R4" s="139"/>
      <c r="S4" s="139"/>
      <c r="T4" s="231"/>
      <c r="U4" s="231"/>
      <c r="V4" s="231"/>
      <c r="W4" s="234"/>
      <c r="X4" s="231"/>
      <c r="Y4" s="231"/>
      <c r="Z4" s="231"/>
    </row>
    <row r="5" spans="1:29"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228"/>
      <c r="S5" s="228"/>
      <c r="T5" s="237" t="s">
        <v>10</v>
      </c>
      <c r="U5" s="235" t="s">
        <v>10</v>
      </c>
      <c r="V5" s="238" t="s">
        <v>10</v>
      </c>
      <c r="W5" s="237" t="s">
        <v>10</v>
      </c>
      <c r="X5" s="235" t="s">
        <v>10</v>
      </c>
      <c r="Y5" s="238" t="s">
        <v>10</v>
      </c>
      <c r="Z5" s="236"/>
      <c r="AA5" s="237" t="s">
        <v>13</v>
      </c>
      <c r="AB5" s="235" t="s">
        <v>13</v>
      </c>
      <c r="AC5" s="238" t="s">
        <v>13</v>
      </c>
    </row>
    <row r="6" spans="1:29" ht="14.25">
      <c r="A6" s="148"/>
      <c r="B6" s="158"/>
      <c r="C6" s="159" t="s">
        <v>14</v>
      </c>
      <c r="D6" s="160"/>
      <c r="E6" s="161" t="s">
        <v>15</v>
      </c>
      <c r="F6" s="161"/>
      <c r="G6" s="159" t="s">
        <v>16</v>
      </c>
      <c r="H6" s="161" t="s">
        <v>17</v>
      </c>
      <c r="I6" s="159" t="s">
        <v>232</v>
      </c>
      <c r="J6" s="161" t="s">
        <v>18</v>
      </c>
      <c r="K6" s="161" t="s">
        <v>17</v>
      </c>
      <c r="L6" s="159" t="s">
        <v>16</v>
      </c>
      <c r="M6" s="161" t="s">
        <v>46</v>
      </c>
      <c r="N6" s="161" t="s">
        <v>19</v>
      </c>
      <c r="O6" s="162" t="str">
        <f>"MAX=20"</f>
        <v>MAX=20</v>
      </c>
      <c r="P6" s="163"/>
      <c r="Q6" s="164"/>
      <c r="R6" s="229"/>
      <c r="S6" s="229"/>
      <c r="T6" s="241" t="s">
        <v>20</v>
      </c>
      <c r="U6" s="239" t="s">
        <v>22</v>
      </c>
      <c r="V6" s="242" t="s">
        <v>21</v>
      </c>
      <c r="W6" s="241" t="s">
        <v>20</v>
      </c>
      <c r="X6" s="239" t="s">
        <v>22</v>
      </c>
      <c r="Y6" s="242" t="s">
        <v>21</v>
      </c>
      <c r="Z6" s="240"/>
      <c r="AA6" s="241" t="s">
        <v>78</v>
      </c>
      <c r="AB6" s="239" t="s">
        <v>79</v>
      </c>
      <c r="AC6" s="242" t="s">
        <v>80</v>
      </c>
    </row>
    <row r="7" spans="1:29" ht="14.25">
      <c r="A7" s="148"/>
      <c r="B7" s="165">
        <v>1</v>
      </c>
      <c r="C7" s="166">
        <v>5752</v>
      </c>
      <c r="D7" s="167" t="str">
        <f t="shared" ref="D7:D17" si="0">IF(ISBLANK(C7),"",VLOOKUP(C7,各艇データ,2,FALSE))</f>
        <v>アルファ</v>
      </c>
      <c r="E7" s="265">
        <f t="shared" ref="E7:E17" si="1">IF($I$6="Ⅰ",T7,IF($I$6="Ⅱ",U7,IF($I$6="Ⅲ",V7,"")))</f>
        <v>10.18</v>
      </c>
      <c r="F7" s="168">
        <v>1</v>
      </c>
      <c r="G7" s="169">
        <v>0.52025462962962965</v>
      </c>
      <c r="H7" s="166">
        <f t="shared" ref="H7:H17" si="2">IFERROR(IF(G7-$Q$2&lt;=0,"",(G7-$Q$2)*86400),"")</f>
        <v>7150.0000000000018</v>
      </c>
      <c r="I7" s="170">
        <f t="shared" ref="I7:I17" si="3">IF($I$6="Ⅰ",W7,IF($I$6="Ⅱ",X7,IF($I$6="Ⅲ",Y7,"")))</f>
        <v>557</v>
      </c>
      <c r="J7" s="168"/>
      <c r="K7" s="171">
        <f t="shared" ref="K7:K17" si="4">IFERROR(H7*(1+0.01*J7)-I7*$N$3,"")</f>
        <v>855.90000000000146</v>
      </c>
      <c r="L7" s="169">
        <f t="shared" ref="L7:L17" si="5">IFERROR((K7-$K$7)/86400,"")</f>
        <v>0</v>
      </c>
      <c r="M7" s="172">
        <f t="shared" ref="M7:M17" si="6">IFERROR((K7-$K$7)/$N$3,"")</f>
        <v>0</v>
      </c>
      <c r="N7" s="173">
        <f t="shared" ref="N7:N17" si="7">IFERROR($N$3/(H7/3600),"")</f>
        <v>5.6895104895104884</v>
      </c>
      <c r="O7" s="174">
        <f>ROUND(IF($O$6="MAX=20",AA7,IF($O$6="MAX=30",AB7,IF($O$6="MAX=40",AC7,""))),1)</f>
        <v>20</v>
      </c>
      <c r="P7" s="270"/>
      <c r="Q7" s="175"/>
      <c r="R7" s="228"/>
      <c r="S7" s="228"/>
      <c r="T7" s="244">
        <f t="shared" ref="T7:T31" si="8">IF(ISBLANK(C7),"",VLOOKUP(C7,各艇データ,3,FALSE))</f>
        <v>10.43</v>
      </c>
      <c r="U7" s="245">
        <f t="shared" ref="U7:U31" si="9">IF(ISBLANK(C7),"",VLOOKUP(C7,各艇データ,4,FALSE))</f>
        <v>10.18</v>
      </c>
      <c r="V7" s="246">
        <f t="shared" ref="V7:V31" si="10">IF(ISBLANK(C7),"",VLOOKUP(C7,各艇データ,5,FALSE))</f>
        <v>9.92</v>
      </c>
      <c r="W7" s="247">
        <f t="shared" ref="W7:W31" si="11">IF(ISBLANK(C7),"",VLOOKUP(C7,各艇データ,6,FALSE))</f>
        <v>892.7</v>
      </c>
      <c r="X7" s="248">
        <f t="shared" ref="X7:X31" si="12">IF(ISBLANK(C7),"",VLOOKUP(C7,各艇データ,7,FALSE))</f>
        <v>557</v>
      </c>
      <c r="Y7" s="249">
        <f t="shared" ref="Y7:Y31" si="13">IF(ISBLANK(C7),"",VLOOKUP(C7,各艇データ,8,FALSE))</f>
        <v>492.1</v>
      </c>
      <c r="Z7" s="236"/>
      <c r="AA7" s="250">
        <f>IF(ISBLANK(B7),"",IFERROR(20*($P$3+1-$B7)/$P$3,"20.0"))</f>
        <v>20</v>
      </c>
      <c r="AB7" s="243">
        <f>IF(ISBLANK(B7),"",IFERROR(30*($P$3+1-$B7)/$P$3,"30.0"))</f>
        <v>30</v>
      </c>
      <c r="AC7" s="251">
        <f>IF(ISBLANK(B7),"",IFERROR(30*($P$3-$B7)/($P$3-1)+10,"20.0"))</f>
        <v>40</v>
      </c>
    </row>
    <row r="8" spans="1:29" ht="14.25">
      <c r="A8" s="148"/>
      <c r="B8" s="176">
        <v>2</v>
      </c>
      <c r="C8" s="177">
        <v>150</v>
      </c>
      <c r="D8" s="178" t="str">
        <f t="shared" si="0"/>
        <v>SHARK X</v>
      </c>
      <c r="E8" s="266">
        <f t="shared" si="1"/>
        <v>8.68</v>
      </c>
      <c r="F8" s="179">
        <v>4</v>
      </c>
      <c r="G8" s="180">
        <v>0.52517361111111105</v>
      </c>
      <c r="H8" s="177">
        <f t="shared" si="2"/>
        <v>7574.9999999999945</v>
      </c>
      <c r="I8" s="181">
        <f t="shared" si="3"/>
        <v>588.9</v>
      </c>
      <c r="J8" s="179"/>
      <c r="K8" s="182">
        <f t="shared" si="4"/>
        <v>920.42999999999483</v>
      </c>
      <c r="L8" s="180">
        <f t="shared" si="5"/>
        <v>7.4687499999992338E-4</v>
      </c>
      <c r="M8" s="183">
        <f t="shared" si="6"/>
        <v>5.7106194690259624</v>
      </c>
      <c r="N8" s="184">
        <f t="shared" si="7"/>
        <v>5.3702970297029742</v>
      </c>
      <c r="O8" s="185">
        <f t="shared" ref="O8:O17" si="14">ROUND(IF($O$6="MAX=20",AA8,IF($O$6="MAX=30",AB8,IF($O$6="MAX=40",AC8,""))),1)</f>
        <v>18.2</v>
      </c>
      <c r="P8" s="186"/>
      <c r="Q8" s="187"/>
      <c r="R8" s="228"/>
      <c r="S8" s="228"/>
      <c r="T8" s="244">
        <f t="shared" si="8"/>
        <v>9.06</v>
      </c>
      <c r="U8" s="245">
        <f t="shared" si="9"/>
        <v>8.68</v>
      </c>
      <c r="V8" s="246">
        <f t="shared" si="10"/>
        <v>8.5</v>
      </c>
      <c r="W8" s="247">
        <f t="shared" si="11"/>
        <v>936.4</v>
      </c>
      <c r="X8" s="248">
        <f t="shared" si="12"/>
        <v>588.9</v>
      </c>
      <c r="Y8" s="249">
        <f t="shared" si="13"/>
        <v>524.4</v>
      </c>
      <c r="Z8" s="236"/>
      <c r="AA8" s="250">
        <f t="shared" ref="AA8:AA31" si="15">IF(ISBLANK(B8),"",IFERROR(20*($P$3+1-$B8)/$P$3,"20.0"))</f>
        <v>18.181818181818183</v>
      </c>
      <c r="AB8" s="243">
        <f t="shared" ref="AB8:AB31" si="16">IF(ISBLANK(B8),"",IFERROR(30*($P$3+1-$B8)/$P$3,"30.0"))</f>
        <v>27.272727272727273</v>
      </c>
      <c r="AC8" s="251">
        <f t="shared" ref="AC8:AC31" si="17">IF(ISBLANK(B8),"",IFERROR(30*($P$3-$B8)/($P$3-1)+10,"20.0"))</f>
        <v>37</v>
      </c>
    </row>
    <row r="9" spans="1:29" ht="14.25">
      <c r="A9" s="148"/>
      <c r="B9" s="176">
        <v>3</v>
      </c>
      <c r="C9" s="177">
        <v>380</v>
      </c>
      <c r="D9" s="178" t="str">
        <f t="shared" si="0"/>
        <v>テティス</v>
      </c>
      <c r="E9" s="266">
        <f t="shared" si="1"/>
        <v>9.86</v>
      </c>
      <c r="F9" s="179">
        <v>2</v>
      </c>
      <c r="G9" s="180">
        <v>0.52391203703703704</v>
      </c>
      <c r="H9" s="177">
        <f t="shared" si="2"/>
        <v>7466</v>
      </c>
      <c r="I9" s="181">
        <f t="shared" si="3"/>
        <v>563.29999999999995</v>
      </c>
      <c r="J9" s="179"/>
      <c r="K9" s="182">
        <f t="shared" si="4"/>
        <v>1100.71</v>
      </c>
      <c r="L9" s="180">
        <f t="shared" si="5"/>
        <v>2.8334490740740577E-3</v>
      </c>
      <c r="M9" s="183">
        <f t="shared" si="6"/>
        <v>21.664601769911378</v>
      </c>
      <c r="N9" s="184">
        <f t="shared" si="7"/>
        <v>5.4487007768550768</v>
      </c>
      <c r="O9" s="185">
        <f t="shared" si="14"/>
        <v>16.399999999999999</v>
      </c>
      <c r="P9" s="186"/>
      <c r="Q9" s="187"/>
      <c r="R9" s="228"/>
      <c r="S9" s="228"/>
      <c r="T9" s="244">
        <f t="shared" si="8"/>
        <v>10.32</v>
      </c>
      <c r="U9" s="245">
        <f t="shared" si="9"/>
        <v>9.86</v>
      </c>
      <c r="V9" s="246">
        <f t="shared" si="10"/>
        <v>9.51</v>
      </c>
      <c r="W9" s="247">
        <f t="shared" si="11"/>
        <v>896</v>
      </c>
      <c r="X9" s="248">
        <f t="shared" si="12"/>
        <v>563.29999999999995</v>
      </c>
      <c r="Y9" s="249">
        <f t="shared" si="13"/>
        <v>500.8</v>
      </c>
      <c r="Z9" s="236"/>
      <c r="AA9" s="250">
        <f t="shared" si="15"/>
        <v>16.363636363636363</v>
      </c>
      <c r="AB9" s="243">
        <f t="shared" si="16"/>
        <v>24.545454545454547</v>
      </c>
      <c r="AC9" s="251">
        <f t="shared" si="17"/>
        <v>34</v>
      </c>
    </row>
    <row r="10" spans="1:29" ht="14.25">
      <c r="A10" s="148"/>
      <c r="B10" s="176">
        <v>4</v>
      </c>
      <c r="C10" s="177">
        <v>1733</v>
      </c>
      <c r="D10" s="178" t="str">
        <f t="shared" si="0"/>
        <v>ケロニア</v>
      </c>
      <c r="E10" s="266">
        <f t="shared" si="1"/>
        <v>9.57</v>
      </c>
      <c r="F10" s="179">
        <v>3</v>
      </c>
      <c r="G10" s="180">
        <v>0.52482638888888888</v>
      </c>
      <c r="H10" s="177">
        <f t="shared" si="2"/>
        <v>7545</v>
      </c>
      <c r="I10" s="181">
        <f t="shared" si="3"/>
        <v>569.29999999999995</v>
      </c>
      <c r="J10" s="179"/>
      <c r="K10" s="182">
        <f t="shared" si="4"/>
        <v>1111.9099999999999</v>
      </c>
      <c r="L10" s="180">
        <f t="shared" si="5"/>
        <v>2.9630787037036852E-3</v>
      </c>
      <c r="M10" s="183">
        <f t="shared" si="6"/>
        <v>22.655752212389238</v>
      </c>
      <c r="N10" s="184">
        <f t="shared" si="7"/>
        <v>5.391650099403579</v>
      </c>
      <c r="O10" s="185">
        <f t="shared" si="14"/>
        <v>14.5</v>
      </c>
      <c r="P10" s="258"/>
      <c r="Q10" s="187"/>
      <c r="R10" s="228"/>
      <c r="S10" s="228"/>
      <c r="T10" s="244">
        <f t="shared" si="8"/>
        <v>9.67</v>
      </c>
      <c r="U10" s="245">
        <f t="shared" si="9"/>
        <v>9.57</v>
      </c>
      <c r="V10" s="246">
        <f t="shared" si="10"/>
        <v>9.4</v>
      </c>
      <c r="W10" s="247">
        <f t="shared" si="11"/>
        <v>915.7</v>
      </c>
      <c r="X10" s="248">
        <f t="shared" si="12"/>
        <v>569.29999999999995</v>
      </c>
      <c r="Y10" s="249">
        <f t="shared" si="13"/>
        <v>503.2</v>
      </c>
      <c r="Z10" s="236"/>
      <c r="AA10" s="250">
        <f t="shared" si="15"/>
        <v>14.545454545454545</v>
      </c>
      <c r="AB10" s="243">
        <f t="shared" si="16"/>
        <v>21.818181818181817</v>
      </c>
      <c r="AC10" s="251">
        <f t="shared" si="17"/>
        <v>31</v>
      </c>
    </row>
    <row r="11" spans="1:29" ht="14.25">
      <c r="A11" s="148"/>
      <c r="B11" s="188">
        <v>5</v>
      </c>
      <c r="C11" s="189">
        <v>321</v>
      </c>
      <c r="D11" s="190" t="str">
        <f t="shared" si="0"/>
        <v>かまくら</v>
      </c>
      <c r="E11" s="267">
        <f t="shared" si="1"/>
        <v>9.51</v>
      </c>
      <c r="F11" s="191">
        <v>5</v>
      </c>
      <c r="G11" s="192">
        <v>0.52535879629629634</v>
      </c>
      <c r="H11" s="193">
        <f t="shared" si="2"/>
        <v>7591.0000000000036</v>
      </c>
      <c r="I11" s="194">
        <f t="shared" si="3"/>
        <v>570.5</v>
      </c>
      <c r="J11" s="195"/>
      <c r="K11" s="196">
        <f t="shared" si="4"/>
        <v>1144.3500000000031</v>
      </c>
      <c r="L11" s="197">
        <f t="shared" si="5"/>
        <v>3.3385416666666858E-3</v>
      </c>
      <c r="M11" s="198">
        <f t="shared" si="6"/>
        <v>25.526548672566516</v>
      </c>
      <c r="N11" s="199">
        <f t="shared" si="7"/>
        <v>5.3589777367935696</v>
      </c>
      <c r="O11" s="200">
        <f t="shared" si="14"/>
        <v>12.7</v>
      </c>
      <c r="P11" s="201"/>
      <c r="Q11" s="202"/>
      <c r="R11" s="228"/>
      <c r="S11" s="228"/>
      <c r="T11" s="244">
        <f t="shared" si="8"/>
        <v>10.15</v>
      </c>
      <c r="U11" s="245">
        <f t="shared" si="9"/>
        <v>9.51</v>
      </c>
      <c r="V11" s="246">
        <f t="shared" si="10"/>
        <v>9.44</v>
      </c>
      <c r="W11" s="247">
        <f t="shared" si="11"/>
        <v>900.8</v>
      </c>
      <c r="X11" s="248">
        <f t="shared" si="12"/>
        <v>570.5</v>
      </c>
      <c r="Y11" s="249">
        <f t="shared" si="13"/>
        <v>502.2</v>
      </c>
      <c r="Z11" s="236"/>
      <c r="AA11" s="250">
        <f t="shared" si="15"/>
        <v>12.727272727272727</v>
      </c>
      <c r="AB11" s="243">
        <f t="shared" si="16"/>
        <v>19.09090909090909</v>
      </c>
      <c r="AC11" s="251">
        <f t="shared" si="17"/>
        <v>28</v>
      </c>
    </row>
    <row r="12" spans="1:29" ht="14.25">
      <c r="A12" s="148"/>
      <c r="B12" s="165">
        <v>6</v>
      </c>
      <c r="C12" s="166">
        <v>6732</v>
      </c>
      <c r="D12" s="167" t="str">
        <f t="shared" si="0"/>
        <v>アイデアル</v>
      </c>
      <c r="E12" s="265">
        <f t="shared" si="1"/>
        <v>9.1300000000000008</v>
      </c>
      <c r="F12" s="168">
        <v>6</v>
      </c>
      <c r="G12" s="169">
        <v>0.5284375</v>
      </c>
      <c r="H12" s="166">
        <f t="shared" si="2"/>
        <v>7857</v>
      </c>
      <c r="I12" s="170">
        <f t="shared" si="3"/>
        <v>578.79999999999995</v>
      </c>
      <c r="J12" s="168"/>
      <c r="K12" s="171">
        <f t="shared" si="4"/>
        <v>1316.5600000000004</v>
      </c>
      <c r="L12" s="169">
        <f t="shared" si="5"/>
        <v>5.3317129629629504E-3</v>
      </c>
      <c r="M12" s="172">
        <f t="shared" si="6"/>
        <v>40.766371681415833</v>
      </c>
      <c r="N12" s="173">
        <f t="shared" si="7"/>
        <v>5.1775486827033221</v>
      </c>
      <c r="O12" s="174">
        <f t="shared" si="14"/>
        <v>10.9</v>
      </c>
      <c r="P12" s="148"/>
      <c r="Q12" s="175"/>
      <c r="R12" s="228"/>
      <c r="S12" s="228"/>
      <c r="T12" s="244">
        <f t="shared" si="8"/>
        <v>9.59</v>
      </c>
      <c r="U12" s="245">
        <f t="shared" si="9"/>
        <v>9.1300000000000008</v>
      </c>
      <c r="V12" s="246">
        <f t="shared" si="10"/>
        <v>8.76</v>
      </c>
      <c r="W12" s="247">
        <f t="shared" si="11"/>
        <v>918.4</v>
      </c>
      <c r="X12" s="248">
        <f t="shared" si="12"/>
        <v>578.79999999999995</v>
      </c>
      <c r="Y12" s="249">
        <f t="shared" si="13"/>
        <v>518</v>
      </c>
      <c r="Z12" s="236"/>
      <c r="AA12" s="250">
        <f t="shared" si="15"/>
        <v>10.909090909090908</v>
      </c>
      <c r="AB12" s="243">
        <f t="shared" si="16"/>
        <v>16.363636363636363</v>
      </c>
      <c r="AC12" s="251">
        <f t="shared" si="17"/>
        <v>25</v>
      </c>
    </row>
    <row r="13" spans="1:29" ht="14.25">
      <c r="A13" s="148"/>
      <c r="B13" s="176">
        <v>7</v>
      </c>
      <c r="C13" s="177">
        <v>199</v>
      </c>
      <c r="D13" s="178" t="str">
        <f t="shared" si="0"/>
        <v>サ－モン4</v>
      </c>
      <c r="E13" s="266">
        <f t="shared" si="1"/>
        <v>9.15</v>
      </c>
      <c r="F13" s="179">
        <v>7</v>
      </c>
      <c r="G13" s="180">
        <v>0.53501157407407407</v>
      </c>
      <c r="H13" s="177">
        <f t="shared" si="2"/>
        <v>8425</v>
      </c>
      <c r="I13" s="181">
        <f t="shared" si="3"/>
        <v>578.20000000000005</v>
      </c>
      <c r="J13" s="179"/>
      <c r="K13" s="182">
        <f t="shared" si="4"/>
        <v>1891.3399999999992</v>
      </c>
      <c r="L13" s="180">
        <f t="shared" si="5"/>
        <v>1.1984259259259233E-2</v>
      </c>
      <c r="M13" s="183">
        <f t="shared" si="6"/>
        <v>91.631858407079449</v>
      </c>
      <c r="N13" s="184">
        <f t="shared" si="7"/>
        <v>4.8284866468842731</v>
      </c>
      <c r="O13" s="185">
        <f t="shared" si="14"/>
        <v>9.1</v>
      </c>
      <c r="P13" s="219"/>
      <c r="Q13" s="187"/>
      <c r="R13" s="228"/>
      <c r="S13" s="228"/>
      <c r="T13" s="244">
        <f t="shared" si="8"/>
        <v>8.99</v>
      </c>
      <c r="U13" s="245">
        <f t="shared" si="9"/>
        <v>9.15</v>
      </c>
      <c r="V13" s="246">
        <f t="shared" si="10"/>
        <v>9.1</v>
      </c>
      <c r="W13" s="247">
        <f t="shared" si="11"/>
        <v>939</v>
      </c>
      <c r="X13" s="248">
        <f t="shared" si="12"/>
        <v>578.20000000000005</v>
      </c>
      <c r="Y13" s="249">
        <f t="shared" si="13"/>
        <v>509.9</v>
      </c>
      <c r="Z13" s="236"/>
      <c r="AA13" s="250">
        <f t="shared" si="15"/>
        <v>9.0909090909090917</v>
      </c>
      <c r="AB13" s="243">
        <f t="shared" si="16"/>
        <v>13.636363636363637</v>
      </c>
      <c r="AC13" s="251">
        <f t="shared" si="17"/>
        <v>22</v>
      </c>
    </row>
    <row r="14" spans="1:29" ht="14.25">
      <c r="A14" s="148"/>
      <c r="B14" s="176">
        <v>8</v>
      </c>
      <c r="C14" s="177">
        <v>131</v>
      </c>
      <c r="D14" s="178" t="str">
        <f t="shared" si="0"/>
        <v>ふるたか</v>
      </c>
      <c r="E14" s="266">
        <f t="shared" si="1"/>
        <v>8.31</v>
      </c>
      <c r="F14" s="179">
        <v>9</v>
      </c>
      <c r="G14" s="180">
        <v>0.54267361111111112</v>
      </c>
      <c r="H14" s="177">
        <f t="shared" si="2"/>
        <v>9087</v>
      </c>
      <c r="I14" s="181">
        <f t="shared" si="3"/>
        <v>598.20000000000005</v>
      </c>
      <c r="J14" s="179"/>
      <c r="K14" s="182">
        <f t="shared" si="4"/>
        <v>2327.3399999999992</v>
      </c>
      <c r="L14" s="180">
        <f t="shared" si="5"/>
        <v>1.7030555555555531E-2</v>
      </c>
      <c r="M14" s="183">
        <f t="shared" si="6"/>
        <v>130.21592920353962</v>
      </c>
      <c r="N14" s="184">
        <f t="shared" si="7"/>
        <v>4.476724991746452</v>
      </c>
      <c r="O14" s="185">
        <f t="shared" si="14"/>
        <v>7.3</v>
      </c>
      <c r="P14" s="186"/>
      <c r="Q14" s="187"/>
      <c r="R14" s="228"/>
      <c r="S14" s="228"/>
      <c r="T14" s="244">
        <f t="shared" si="8"/>
        <v>8.2899999999999991</v>
      </c>
      <c r="U14" s="245">
        <f t="shared" si="9"/>
        <v>8.31</v>
      </c>
      <c r="V14" s="246">
        <f t="shared" si="10"/>
        <v>8.0500000000000007</v>
      </c>
      <c r="W14" s="247">
        <f t="shared" si="11"/>
        <v>965.1</v>
      </c>
      <c r="X14" s="248">
        <f t="shared" si="12"/>
        <v>598.20000000000005</v>
      </c>
      <c r="Y14" s="249">
        <f t="shared" si="13"/>
        <v>536.29999999999995</v>
      </c>
      <c r="Z14" s="236"/>
      <c r="AA14" s="250">
        <f t="shared" si="15"/>
        <v>7.2727272727272725</v>
      </c>
      <c r="AB14" s="243">
        <f t="shared" si="16"/>
        <v>10.909090909090908</v>
      </c>
      <c r="AC14" s="251">
        <f t="shared" si="17"/>
        <v>19</v>
      </c>
    </row>
    <row r="15" spans="1:29" ht="14.25">
      <c r="A15" s="148"/>
      <c r="B15" s="176">
        <v>9</v>
      </c>
      <c r="C15" s="177">
        <v>2212</v>
      </c>
      <c r="D15" s="178" t="str">
        <f t="shared" si="0"/>
        <v>衣笠</v>
      </c>
      <c r="E15" s="266">
        <f t="shared" si="1"/>
        <v>9.0399999999999991</v>
      </c>
      <c r="F15" s="179">
        <v>8</v>
      </c>
      <c r="G15" s="180">
        <v>0.54068287037037044</v>
      </c>
      <c r="H15" s="177">
        <f t="shared" si="2"/>
        <v>8915.0000000000055</v>
      </c>
      <c r="I15" s="181">
        <f t="shared" si="3"/>
        <v>580.79999999999995</v>
      </c>
      <c r="J15" s="179"/>
      <c r="K15" s="182">
        <f t="shared" si="4"/>
        <v>2351.9600000000055</v>
      </c>
      <c r="L15" s="180">
        <f t="shared" si="5"/>
        <v>1.7315509259259305E-2</v>
      </c>
      <c r="M15" s="183">
        <f t="shared" si="6"/>
        <v>132.39469026548707</v>
      </c>
      <c r="N15" s="184">
        <f t="shared" si="7"/>
        <v>4.5630959057767777</v>
      </c>
      <c r="O15" s="185">
        <f t="shared" si="14"/>
        <v>5.5</v>
      </c>
      <c r="P15" s="219"/>
      <c r="Q15" s="187"/>
      <c r="R15" s="228"/>
      <c r="S15" s="228"/>
      <c r="T15" s="414">
        <v>8.8000000000000007</v>
      </c>
      <c r="U15" s="415">
        <v>9.0399999999999991</v>
      </c>
      <c r="V15" s="416">
        <v>9.0399999999999991</v>
      </c>
      <c r="W15" s="417">
        <v>945.7</v>
      </c>
      <c r="X15" s="418">
        <v>580.79999999999995</v>
      </c>
      <c r="Y15" s="419">
        <v>511.4</v>
      </c>
      <c r="Z15" s="420" t="s">
        <v>412</v>
      </c>
      <c r="AA15" s="250">
        <f t="shared" si="15"/>
        <v>5.4545454545454541</v>
      </c>
      <c r="AB15" s="243">
        <f t="shared" si="16"/>
        <v>8.1818181818181817</v>
      </c>
      <c r="AC15" s="251">
        <f t="shared" si="17"/>
        <v>16</v>
      </c>
    </row>
    <row r="16" spans="1:29" ht="14.25">
      <c r="A16" s="148"/>
      <c r="B16" s="188">
        <v>10</v>
      </c>
      <c r="C16" s="189">
        <v>312</v>
      </c>
      <c r="D16" s="190" t="str">
        <f t="shared" si="0"/>
        <v>はやとり</v>
      </c>
      <c r="E16" s="267">
        <f t="shared" si="1"/>
        <v>8.09</v>
      </c>
      <c r="F16" s="191">
        <v>10</v>
      </c>
      <c r="G16" s="192">
        <v>0.54423611111111114</v>
      </c>
      <c r="H16" s="189">
        <f t="shared" si="2"/>
        <v>9222.0000000000036</v>
      </c>
      <c r="I16" s="203">
        <f t="shared" si="3"/>
        <v>603.70000000000005</v>
      </c>
      <c r="J16" s="191"/>
      <c r="K16" s="205">
        <f t="shared" si="4"/>
        <v>2400.1900000000023</v>
      </c>
      <c r="L16" s="192">
        <f t="shared" si="5"/>
        <v>1.7873726851851863E-2</v>
      </c>
      <c r="M16" s="206">
        <f t="shared" si="6"/>
        <v>136.66283185840715</v>
      </c>
      <c r="N16" s="207">
        <f t="shared" si="7"/>
        <v>4.4111906310995428</v>
      </c>
      <c r="O16" s="208">
        <f t="shared" si="14"/>
        <v>3.6</v>
      </c>
      <c r="P16" s="260"/>
      <c r="Q16" s="202"/>
      <c r="R16" s="228"/>
      <c r="S16" s="228"/>
      <c r="T16" s="244">
        <f t="shared" si="8"/>
        <v>8.11</v>
      </c>
      <c r="U16" s="245">
        <f t="shared" si="9"/>
        <v>8.09</v>
      </c>
      <c r="V16" s="246">
        <f t="shared" si="10"/>
        <v>8.07</v>
      </c>
      <c r="W16" s="247">
        <f t="shared" si="11"/>
        <v>972.4</v>
      </c>
      <c r="X16" s="248">
        <f t="shared" si="12"/>
        <v>603.70000000000005</v>
      </c>
      <c r="Y16" s="249">
        <f t="shared" si="13"/>
        <v>535.70000000000005</v>
      </c>
      <c r="Z16" s="236"/>
      <c r="AA16" s="250">
        <f t="shared" si="15"/>
        <v>3.6363636363636362</v>
      </c>
      <c r="AB16" s="243">
        <f t="shared" si="16"/>
        <v>5.4545454545454541</v>
      </c>
      <c r="AC16" s="251">
        <f t="shared" si="17"/>
        <v>13</v>
      </c>
    </row>
    <row r="17" spans="1:29" ht="14.25">
      <c r="A17" s="148"/>
      <c r="B17" s="165">
        <v>11</v>
      </c>
      <c r="C17" s="166">
        <v>162</v>
      </c>
      <c r="D17" s="167" t="str">
        <f t="shared" si="0"/>
        <v>ﾌｪﾆｯｸｽ</v>
      </c>
      <c r="E17" s="265">
        <f t="shared" si="1"/>
        <v>6.84</v>
      </c>
      <c r="F17" s="168">
        <v>11</v>
      </c>
      <c r="G17" s="169">
        <v>0.55126157407407406</v>
      </c>
      <c r="H17" s="209">
        <f t="shared" si="2"/>
        <v>9828.9999999999982</v>
      </c>
      <c r="I17" s="210">
        <f t="shared" si="3"/>
        <v>640.4</v>
      </c>
      <c r="J17" s="211"/>
      <c r="K17" s="212">
        <f t="shared" si="4"/>
        <v>2592.4799999999977</v>
      </c>
      <c r="L17" s="213">
        <f t="shared" si="5"/>
        <v>2.0099305555555513E-2</v>
      </c>
      <c r="M17" s="214">
        <f t="shared" si="6"/>
        <v>153.67964601769879</v>
      </c>
      <c r="N17" s="215">
        <f t="shared" si="7"/>
        <v>4.1387730186183749</v>
      </c>
      <c r="O17" s="174">
        <f t="shared" si="14"/>
        <v>1.8</v>
      </c>
      <c r="P17" s="264"/>
      <c r="Q17" s="175"/>
      <c r="R17" s="228"/>
      <c r="S17" s="228"/>
      <c r="T17" s="244">
        <f t="shared" si="8"/>
        <v>6.96</v>
      </c>
      <c r="U17" s="245">
        <f t="shared" si="9"/>
        <v>6.84</v>
      </c>
      <c r="V17" s="246">
        <f t="shared" si="10"/>
        <v>6.95</v>
      </c>
      <c r="W17" s="247">
        <f t="shared" si="11"/>
        <v>1024.3</v>
      </c>
      <c r="X17" s="248">
        <f t="shared" si="12"/>
        <v>640.4</v>
      </c>
      <c r="Y17" s="249">
        <f t="shared" si="13"/>
        <v>569.4</v>
      </c>
      <c r="Z17" s="236"/>
      <c r="AA17" s="250">
        <f t="shared" si="15"/>
        <v>1.8181818181818181</v>
      </c>
      <c r="AB17" s="243">
        <f t="shared" si="16"/>
        <v>2.7272727272727271</v>
      </c>
      <c r="AC17" s="251">
        <f t="shared" si="17"/>
        <v>10</v>
      </c>
    </row>
    <row r="18" spans="1:29" ht="14.25">
      <c r="A18" s="148"/>
      <c r="B18" s="176"/>
      <c r="C18" s="177"/>
      <c r="D18" s="178"/>
      <c r="E18" s="266"/>
      <c r="F18" s="179"/>
      <c r="G18" s="180"/>
      <c r="H18" s="177"/>
      <c r="I18" s="181"/>
      <c r="J18" s="259"/>
      <c r="K18" s="182"/>
      <c r="L18" s="180"/>
      <c r="M18" s="183"/>
      <c r="N18" s="184"/>
      <c r="O18" s="185"/>
      <c r="P18" s="219"/>
      <c r="Q18" s="187"/>
      <c r="R18" s="228"/>
      <c r="S18" s="228"/>
      <c r="T18" s="244" t="str">
        <f t="shared" si="8"/>
        <v/>
      </c>
      <c r="U18" s="245" t="str">
        <f t="shared" si="9"/>
        <v/>
      </c>
      <c r="V18" s="246" t="str">
        <f t="shared" si="10"/>
        <v/>
      </c>
      <c r="W18" s="247" t="str">
        <f t="shared" si="11"/>
        <v/>
      </c>
      <c r="X18" s="248" t="str">
        <f t="shared" si="12"/>
        <v/>
      </c>
      <c r="Y18" s="249" t="str">
        <f t="shared" si="13"/>
        <v/>
      </c>
      <c r="Z18" s="236"/>
      <c r="AA18" s="250" t="str">
        <f t="shared" si="15"/>
        <v/>
      </c>
      <c r="AB18" s="243" t="str">
        <f t="shared" si="16"/>
        <v/>
      </c>
      <c r="AC18" s="251" t="str">
        <f t="shared" si="17"/>
        <v/>
      </c>
    </row>
    <row r="19" spans="1:29" ht="14.25">
      <c r="A19" s="148"/>
      <c r="B19" s="176"/>
      <c r="C19" s="177">
        <v>1611</v>
      </c>
      <c r="D19" s="178" t="str">
        <f>IF(ISBLANK(C19),"",VLOOKUP(C19,各艇データ,2,FALSE))</f>
        <v>ﾈﾌﾟﾁｭｰﾝXⅡ</v>
      </c>
      <c r="E19" s="266"/>
      <c r="F19" s="179"/>
      <c r="G19" s="180"/>
      <c r="H19" s="177"/>
      <c r="I19" s="181"/>
      <c r="J19" s="259"/>
      <c r="K19" s="182"/>
      <c r="L19" s="180"/>
      <c r="M19" s="183"/>
      <c r="N19" s="184"/>
      <c r="O19" s="185">
        <v>1</v>
      </c>
      <c r="P19" s="219"/>
      <c r="Q19" s="187"/>
      <c r="R19" s="228"/>
      <c r="S19" s="228"/>
      <c r="T19" s="244">
        <f t="shared" si="8"/>
        <v>8.0299999999999994</v>
      </c>
      <c r="U19" s="245">
        <f t="shared" si="9"/>
        <v>8.15</v>
      </c>
      <c r="V19" s="246">
        <f t="shared" si="10"/>
        <v>7.98</v>
      </c>
      <c r="W19" s="247">
        <f t="shared" si="11"/>
        <v>975.7</v>
      </c>
      <c r="X19" s="248">
        <f t="shared" si="12"/>
        <v>602.20000000000005</v>
      </c>
      <c r="Y19" s="249">
        <f t="shared" si="13"/>
        <v>538.1</v>
      </c>
      <c r="Z19" s="236"/>
      <c r="AA19" s="250" t="str">
        <f t="shared" si="15"/>
        <v/>
      </c>
      <c r="AB19" s="243" t="str">
        <f t="shared" si="16"/>
        <v/>
      </c>
      <c r="AC19" s="251" t="str">
        <f t="shared" si="17"/>
        <v/>
      </c>
    </row>
    <row r="20" spans="1:29" ht="14.25">
      <c r="A20" s="148"/>
      <c r="B20" s="176"/>
      <c r="C20" s="177"/>
      <c r="D20" s="178"/>
      <c r="E20" s="266"/>
      <c r="F20" s="179"/>
      <c r="G20" s="180"/>
      <c r="H20" s="177"/>
      <c r="I20" s="181"/>
      <c r="J20" s="259"/>
      <c r="K20" s="182"/>
      <c r="L20" s="180"/>
      <c r="M20" s="183"/>
      <c r="N20" s="184"/>
      <c r="O20" s="185"/>
      <c r="P20" s="264"/>
      <c r="Q20" s="187"/>
      <c r="R20" s="228"/>
      <c r="S20" s="228"/>
      <c r="T20" s="244" t="str">
        <f t="shared" si="8"/>
        <v/>
      </c>
      <c r="U20" s="245" t="str">
        <f t="shared" si="9"/>
        <v/>
      </c>
      <c r="V20" s="246" t="str">
        <f t="shared" si="10"/>
        <v/>
      </c>
      <c r="W20" s="247" t="str">
        <f t="shared" si="11"/>
        <v/>
      </c>
      <c r="X20" s="248" t="str">
        <f t="shared" si="12"/>
        <v/>
      </c>
      <c r="Y20" s="249" t="str">
        <f t="shared" si="13"/>
        <v/>
      </c>
      <c r="Z20" s="236"/>
      <c r="AA20" s="250" t="str">
        <f t="shared" si="15"/>
        <v/>
      </c>
      <c r="AB20" s="243" t="str">
        <f t="shared" si="16"/>
        <v/>
      </c>
      <c r="AC20" s="251" t="str">
        <f t="shared" si="17"/>
        <v/>
      </c>
    </row>
    <row r="21" spans="1:29" ht="14.25">
      <c r="A21" s="148"/>
      <c r="B21" s="188"/>
      <c r="C21" s="189"/>
      <c r="D21" s="190"/>
      <c r="E21" s="267"/>
      <c r="F21" s="191"/>
      <c r="G21" s="192"/>
      <c r="H21" s="189"/>
      <c r="I21" s="203"/>
      <c r="J21" s="204"/>
      <c r="K21" s="205"/>
      <c r="L21" s="192"/>
      <c r="M21" s="206"/>
      <c r="N21" s="207"/>
      <c r="O21" s="208"/>
      <c r="P21" s="260"/>
      <c r="Q21" s="202"/>
      <c r="R21" s="228"/>
      <c r="S21" s="228"/>
      <c r="T21" s="244" t="str">
        <f t="shared" si="8"/>
        <v/>
      </c>
      <c r="U21" s="245" t="str">
        <f t="shared" si="9"/>
        <v/>
      </c>
      <c r="V21" s="246" t="str">
        <f t="shared" si="10"/>
        <v/>
      </c>
      <c r="W21" s="247" t="str">
        <f t="shared" si="11"/>
        <v/>
      </c>
      <c r="X21" s="248" t="str">
        <f t="shared" si="12"/>
        <v/>
      </c>
      <c r="Y21" s="249" t="str">
        <f t="shared" si="13"/>
        <v/>
      </c>
      <c r="Z21" s="236"/>
      <c r="AA21" s="250" t="str">
        <f t="shared" si="15"/>
        <v/>
      </c>
      <c r="AB21" s="243" t="str">
        <f t="shared" si="16"/>
        <v/>
      </c>
      <c r="AC21" s="251" t="str">
        <f t="shared" si="17"/>
        <v/>
      </c>
    </row>
    <row r="22" spans="1:29" ht="14.25">
      <c r="A22" s="148"/>
      <c r="B22" s="217"/>
      <c r="C22" s="268"/>
      <c r="D22" s="222"/>
      <c r="E22" s="211"/>
      <c r="F22" s="211"/>
      <c r="G22" s="213"/>
      <c r="H22" s="209"/>
      <c r="I22" s="210"/>
      <c r="J22" s="211"/>
      <c r="K22" s="212"/>
      <c r="L22" s="213"/>
      <c r="M22" s="214"/>
      <c r="N22" s="215"/>
      <c r="O22" s="216"/>
      <c r="P22" s="269"/>
      <c r="Q22" s="218"/>
      <c r="R22" s="228"/>
      <c r="S22" s="228"/>
      <c r="T22" s="244" t="str">
        <f t="shared" si="8"/>
        <v/>
      </c>
      <c r="U22" s="245" t="str">
        <f t="shared" si="9"/>
        <v/>
      </c>
      <c r="V22" s="246" t="str">
        <f t="shared" si="10"/>
        <v/>
      </c>
      <c r="W22" s="247" t="str">
        <f t="shared" si="11"/>
        <v/>
      </c>
      <c r="X22" s="248" t="str">
        <f t="shared" si="12"/>
        <v/>
      </c>
      <c r="Y22" s="249" t="str">
        <f t="shared" si="13"/>
        <v/>
      </c>
      <c r="Z22" s="236"/>
      <c r="AA22" s="250" t="str">
        <f t="shared" si="15"/>
        <v/>
      </c>
      <c r="AB22" s="243" t="str">
        <f t="shared" si="16"/>
        <v/>
      </c>
      <c r="AC22" s="251" t="str">
        <f t="shared" si="17"/>
        <v/>
      </c>
    </row>
    <row r="23" spans="1:29" ht="14.25">
      <c r="A23" s="148"/>
      <c r="B23" s="176"/>
      <c r="C23" s="177"/>
      <c r="D23" s="178" t="str">
        <f>IF(ISBLANK(C23),"",VLOOKUP(C23,各艇データ,2,FALSE))</f>
        <v/>
      </c>
      <c r="E23" s="179"/>
      <c r="F23" s="179"/>
      <c r="G23" s="180"/>
      <c r="H23" s="177"/>
      <c r="I23" s="181"/>
      <c r="J23" s="179"/>
      <c r="K23" s="182"/>
      <c r="L23" s="180"/>
      <c r="M23" s="183"/>
      <c r="N23" s="184"/>
      <c r="O23" s="185"/>
      <c r="P23" s="219"/>
      <c r="Q23" s="187"/>
      <c r="R23" s="228"/>
      <c r="S23" s="228"/>
      <c r="T23" s="244" t="str">
        <f t="shared" si="8"/>
        <v/>
      </c>
      <c r="U23" s="245" t="str">
        <f t="shared" si="9"/>
        <v/>
      </c>
      <c r="V23" s="246" t="str">
        <f t="shared" si="10"/>
        <v/>
      </c>
      <c r="W23" s="247" t="str">
        <f t="shared" si="11"/>
        <v/>
      </c>
      <c r="X23" s="248" t="str">
        <f t="shared" si="12"/>
        <v/>
      </c>
      <c r="Y23" s="249" t="str">
        <f t="shared" si="13"/>
        <v/>
      </c>
      <c r="Z23" s="236"/>
      <c r="AA23" s="250" t="str">
        <f t="shared" si="15"/>
        <v/>
      </c>
      <c r="AB23" s="243" t="str">
        <f t="shared" si="16"/>
        <v/>
      </c>
      <c r="AC23" s="251" t="str">
        <f t="shared" si="17"/>
        <v/>
      </c>
    </row>
    <row r="24" spans="1:29" ht="14.25">
      <c r="A24" s="148"/>
      <c r="B24" s="217"/>
      <c r="C24" s="177"/>
      <c r="D24" s="222"/>
      <c r="E24" s="179"/>
      <c r="F24" s="179"/>
      <c r="G24" s="180"/>
      <c r="H24" s="177"/>
      <c r="I24" s="181"/>
      <c r="J24" s="179"/>
      <c r="K24" s="182"/>
      <c r="L24" s="180"/>
      <c r="M24" s="183"/>
      <c r="N24" s="184"/>
      <c r="O24" s="185"/>
      <c r="P24" s="220"/>
      <c r="Q24" s="187"/>
      <c r="R24" s="228"/>
      <c r="S24" s="228"/>
      <c r="T24" s="244" t="str">
        <f t="shared" si="8"/>
        <v/>
      </c>
      <c r="U24" s="245" t="str">
        <f t="shared" si="9"/>
        <v/>
      </c>
      <c r="V24" s="246" t="str">
        <f t="shared" si="10"/>
        <v/>
      </c>
      <c r="W24" s="247" t="str">
        <f t="shared" si="11"/>
        <v/>
      </c>
      <c r="X24" s="248" t="str">
        <f t="shared" si="12"/>
        <v/>
      </c>
      <c r="Y24" s="249" t="str">
        <f t="shared" si="13"/>
        <v/>
      </c>
      <c r="Z24" s="236"/>
      <c r="AA24" s="250" t="str">
        <f t="shared" si="15"/>
        <v/>
      </c>
      <c r="AB24" s="243" t="str">
        <f t="shared" si="16"/>
        <v/>
      </c>
      <c r="AC24" s="251" t="str">
        <f t="shared" si="17"/>
        <v/>
      </c>
    </row>
    <row r="25" spans="1:29" ht="14.25">
      <c r="A25" s="148"/>
      <c r="B25" s="176"/>
      <c r="C25" s="177"/>
      <c r="D25" s="178" t="str">
        <f t="shared" ref="D25:D31" si="18">IF(ISBLANK(C25),"",VLOOKUP(C25,各艇データ,2,FALSE))</f>
        <v/>
      </c>
      <c r="E25" s="179"/>
      <c r="F25" s="179"/>
      <c r="G25" s="180"/>
      <c r="H25" s="177"/>
      <c r="I25" s="181"/>
      <c r="J25" s="179"/>
      <c r="K25" s="182"/>
      <c r="L25" s="180"/>
      <c r="M25" s="183"/>
      <c r="N25" s="184"/>
      <c r="O25" s="185"/>
      <c r="P25" s="220"/>
      <c r="Q25" s="187"/>
      <c r="R25" s="228"/>
      <c r="S25" s="228"/>
      <c r="T25" s="244" t="str">
        <f t="shared" si="8"/>
        <v/>
      </c>
      <c r="U25" s="245" t="str">
        <f t="shared" si="9"/>
        <v/>
      </c>
      <c r="V25" s="246" t="str">
        <f t="shared" si="10"/>
        <v/>
      </c>
      <c r="W25" s="247" t="str">
        <f t="shared" si="11"/>
        <v/>
      </c>
      <c r="X25" s="248" t="str">
        <f t="shared" si="12"/>
        <v/>
      </c>
      <c r="Y25" s="249" t="str">
        <f t="shared" si="13"/>
        <v/>
      </c>
      <c r="Z25" s="236"/>
      <c r="AA25" s="250" t="str">
        <f t="shared" si="15"/>
        <v/>
      </c>
      <c r="AB25" s="243" t="str">
        <f t="shared" si="16"/>
        <v/>
      </c>
      <c r="AC25" s="251" t="str">
        <f t="shared" si="17"/>
        <v/>
      </c>
    </row>
    <row r="26" spans="1:29" ht="14.25">
      <c r="A26" s="148"/>
      <c r="B26" s="188"/>
      <c r="C26" s="189"/>
      <c r="D26" s="190" t="str">
        <f t="shared" si="18"/>
        <v/>
      </c>
      <c r="E26" s="191"/>
      <c r="F26" s="191"/>
      <c r="G26" s="192"/>
      <c r="H26" s="189" t="str">
        <f>IFERROR(IF(G26-$Q$2&lt;=0,"",(G26-$Q$2)*86400),"")</f>
        <v/>
      </c>
      <c r="I26" s="203" t="str">
        <f>IF($I$6="Ⅰ",W26,IF($I$6="Ⅱ",X26,IF($I$6="Ⅲ",Y26,"")))</f>
        <v/>
      </c>
      <c r="J26" s="191"/>
      <c r="K26" s="205" t="str">
        <f>IFERROR(H26*(1+0.01*J26)-I26*$N$3,"")</f>
        <v/>
      </c>
      <c r="L26" s="192" t="str">
        <f>IFERROR((K26-$K$7)/86400,"")</f>
        <v/>
      </c>
      <c r="M26" s="206" t="str">
        <f>IFERROR((K26-$K$7)/$N$3,"")</f>
        <v/>
      </c>
      <c r="N26" s="207" t="str">
        <f>IFERROR($N$3/(H26/3600),"")</f>
        <v/>
      </c>
      <c r="O26" s="208" t="str">
        <f>IF($O$6="MAX=20",AA26,IF($O$6="MAX=30",AB26,IF($O$6="MAX=40",AC26,"")))</f>
        <v/>
      </c>
      <c r="P26" s="221"/>
      <c r="Q26" s="202"/>
      <c r="R26" s="228"/>
      <c r="S26" s="228"/>
      <c r="T26" s="244" t="str">
        <f t="shared" si="8"/>
        <v/>
      </c>
      <c r="U26" s="245" t="str">
        <f t="shared" si="9"/>
        <v/>
      </c>
      <c r="V26" s="246" t="str">
        <f t="shared" si="10"/>
        <v/>
      </c>
      <c r="W26" s="247" t="str">
        <f t="shared" si="11"/>
        <v/>
      </c>
      <c r="X26" s="248" t="str">
        <f t="shared" si="12"/>
        <v/>
      </c>
      <c r="Y26" s="249" t="str">
        <f t="shared" si="13"/>
        <v/>
      </c>
      <c r="Z26" s="236"/>
      <c r="AA26" s="250" t="str">
        <f t="shared" si="15"/>
        <v/>
      </c>
      <c r="AB26" s="243" t="str">
        <f t="shared" si="16"/>
        <v/>
      </c>
      <c r="AC26" s="251" t="str">
        <f t="shared" si="17"/>
        <v/>
      </c>
    </row>
    <row r="27" spans="1:29"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228"/>
      <c r="S27" s="228"/>
      <c r="T27" s="244" t="str">
        <f t="shared" si="8"/>
        <v/>
      </c>
      <c r="U27" s="245" t="str">
        <f t="shared" si="9"/>
        <v/>
      </c>
      <c r="V27" s="246" t="str">
        <f t="shared" si="10"/>
        <v/>
      </c>
      <c r="W27" s="247" t="str">
        <f t="shared" si="11"/>
        <v/>
      </c>
      <c r="X27" s="248" t="str">
        <f t="shared" si="12"/>
        <v/>
      </c>
      <c r="Y27" s="249" t="str">
        <f t="shared" si="13"/>
        <v/>
      </c>
      <c r="Z27" s="236"/>
      <c r="AA27" s="250" t="str">
        <f t="shared" si="15"/>
        <v/>
      </c>
      <c r="AB27" s="243" t="str">
        <f t="shared" si="16"/>
        <v/>
      </c>
      <c r="AC27" s="251" t="str">
        <f t="shared" si="17"/>
        <v/>
      </c>
    </row>
    <row r="28" spans="1:29" ht="14.25" customHeight="1">
      <c r="A28" s="148"/>
      <c r="B28" s="176"/>
      <c r="C28" s="177"/>
      <c r="D28" s="178" t="str">
        <f t="shared" si="18"/>
        <v/>
      </c>
      <c r="E28" s="179"/>
      <c r="F28" s="179"/>
      <c r="G28" s="180"/>
      <c r="H28" s="177"/>
      <c r="I28" s="181"/>
      <c r="J28" s="179"/>
      <c r="K28" s="182"/>
      <c r="L28" s="180"/>
      <c r="M28" s="183"/>
      <c r="N28" s="184"/>
      <c r="O28" s="185"/>
      <c r="P28" s="224"/>
      <c r="Q28" s="187"/>
      <c r="R28" s="228"/>
      <c r="S28" s="228"/>
      <c r="T28" s="244" t="str">
        <f t="shared" si="8"/>
        <v/>
      </c>
      <c r="U28" s="245" t="str">
        <f t="shared" si="9"/>
        <v/>
      </c>
      <c r="V28" s="246" t="str">
        <f t="shared" si="10"/>
        <v/>
      </c>
      <c r="W28" s="247" t="str">
        <f t="shared" si="11"/>
        <v/>
      </c>
      <c r="X28" s="248" t="str">
        <f t="shared" si="12"/>
        <v/>
      </c>
      <c r="Y28" s="249" t="str">
        <f t="shared" si="13"/>
        <v/>
      </c>
      <c r="Z28" s="236"/>
      <c r="AA28" s="250" t="str">
        <f t="shared" si="15"/>
        <v/>
      </c>
      <c r="AB28" s="243" t="str">
        <f t="shared" si="16"/>
        <v/>
      </c>
      <c r="AC28" s="251" t="str">
        <f t="shared" si="17"/>
        <v/>
      </c>
    </row>
    <row r="29" spans="1:29" ht="14.25">
      <c r="A29" s="148"/>
      <c r="B29" s="176"/>
      <c r="C29" s="177"/>
      <c r="D29" s="178" t="str">
        <f t="shared" si="18"/>
        <v/>
      </c>
      <c r="E29" s="179"/>
      <c r="F29" s="179"/>
      <c r="G29" s="180"/>
      <c r="H29" s="177"/>
      <c r="I29" s="181"/>
      <c r="J29" s="179"/>
      <c r="K29" s="182"/>
      <c r="L29" s="180"/>
      <c r="M29" s="183"/>
      <c r="N29" s="184"/>
      <c r="O29" s="185"/>
      <c r="P29" s="220"/>
      <c r="Q29" s="187"/>
      <c r="R29" s="228"/>
      <c r="S29" s="228"/>
      <c r="T29" s="244" t="str">
        <f t="shared" si="8"/>
        <v/>
      </c>
      <c r="U29" s="245" t="str">
        <f t="shared" si="9"/>
        <v/>
      </c>
      <c r="V29" s="246" t="str">
        <f t="shared" si="10"/>
        <v/>
      </c>
      <c r="W29" s="247" t="str">
        <f t="shared" si="11"/>
        <v/>
      </c>
      <c r="X29" s="248" t="str">
        <f t="shared" si="12"/>
        <v/>
      </c>
      <c r="Y29" s="249" t="str">
        <f t="shared" si="13"/>
        <v/>
      </c>
      <c r="Z29" s="236"/>
      <c r="AA29" s="250" t="str">
        <f t="shared" si="15"/>
        <v/>
      </c>
      <c r="AB29" s="243" t="str">
        <f t="shared" si="16"/>
        <v/>
      </c>
      <c r="AC29" s="251" t="str">
        <f t="shared" si="17"/>
        <v/>
      </c>
    </row>
    <row r="30" spans="1:29" ht="14.25" customHeight="1">
      <c r="A30" s="148"/>
      <c r="B30" s="176"/>
      <c r="C30" s="177"/>
      <c r="D30" s="178" t="str">
        <f t="shared" si="18"/>
        <v/>
      </c>
      <c r="E30" s="179"/>
      <c r="F30" s="179"/>
      <c r="G30" s="180"/>
      <c r="H30" s="177"/>
      <c r="I30" s="181"/>
      <c r="J30" s="179"/>
      <c r="K30" s="182"/>
      <c r="L30" s="180"/>
      <c r="M30" s="183"/>
      <c r="N30" s="184"/>
      <c r="O30" s="185"/>
      <c r="P30" s="220"/>
      <c r="Q30" s="187"/>
      <c r="R30" s="228"/>
      <c r="S30" s="228"/>
      <c r="T30" s="244" t="str">
        <f t="shared" si="8"/>
        <v/>
      </c>
      <c r="U30" s="245" t="str">
        <f t="shared" si="9"/>
        <v/>
      </c>
      <c r="V30" s="246" t="str">
        <f t="shared" si="10"/>
        <v/>
      </c>
      <c r="W30" s="247" t="str">
        <f t="shared" si="11"/>
        <v/>
      </c>
      <c r="X30" s="248" t="str">
        <f t="shared" si="12"/>
        <v/>
      </c>
      <c r="Y30" s="249" t="str">
        <f t="shared" si="13"/>
        <v/>
      </c>
      <c r="Z30" s="236"/>
      <c r="AA30" s="250" t="str">
        <f t="shared" si="15"/>
        <v/>
      </c>
      <c r="AB30" s="243" t="str">
        <f t="shared" si="16"/>
        <v/>
      </c>
      <c r="AC30" s="251" t="str">
        <f t="shared" si="17"/>
        <v/>
      </c>
    </row>
    <row r="31" spans="1:29" ht="15" thickBot="1">
      <c r="A31" s="148"/>
      <c r="B31" s="176"/>
      <c r="C31" s="177"/>
      <c r="D31" s="190" t="str">
        <f t="shared" si="18"/>
        <v/>
      </c>
      <c r="E31" s="191"/>
      <c r="F31" s="179"/>
      <c r="G31" s="180"/>
      <c r="H31" s="189" t="str">
        <f>IFERROR(IF(G31-$Q$2&lt;=0,"",(G31-$Q$2)*86400),"")</f>
        <v/>
      </c>
      <c r="I31" s="203" t="str">
        <f>IF($I$6="Ⅰ",W31,IF($I$6="Ⅱ",X31,IF($I$6="Ⅲ",Y31,"")))</f>
        <v/>
      </c>
      <c r="J31" s="191"/>
      <c r="K31" s="205" t="str">
        <f>IFERROR(H31*(1+0.01*J31)-I31*$N$3,"")</f>
        <v/>
      </c>
      <c r="L31" s="192" t="str">
        <f>IFERROR((K31-$K$7)/86400,"")</f>
        <v/>
      </c>
      <c r="M31" s="206" t="str">
        <f>IFERROR((K31-$K$7)/$N$3,"")</f>
        <v/>
      </c>
      <c r="N31" s="207" t="str">
        <f>IFERROR($N$3/(H31/3600),"")</f>
        <v/>
      </c>
      <c r="O31" s="208" t="str">
        <f>IF($O$6="MAX=20",AA31,IF($O$6="MAX=30",AB31,IF($O$6="MAX=40",AC31,"")))</f>
        <v/>
      </c>
      <c r="P31" s="221"/>
      <c r="Q31" s="202"/>
      <c r="R31" s="228"/>
      <c r="S31" s="228"/>
      <c r="T31" s="252" t="str">
        <f t="shared" si="8"/>
        <v/>
      </c>
      <c r="U31" s="253" t="str">
        <f t="shared" si="9"/>
        <v/>
      </c>
      <c r="V31" s="254" t="str">
        <f t="shared" si="10"/>
        <v/>
      </c>
      <c r="W31" s="255" t="str">
        <f t="shared" si="11"/>
        <v/>
      </c>
      <c r="X31" s="256" t="str">
        <f t="shared" si="12"/>
        <v/>
      </c>
      <c r="Y31" s="257" t="str">
        <f t="shared" si="13"/>
        <v/>
      </c>
      <c r="Z31" s="236"/>
      <c r="AA31" s="261" t="str">
        <f t="shared" si="15"/>
        <v/>
      </c>
      <c r="AB31" s="262" t="str">
        <f t="shared" si="16"/>
        <v/>
      </c>
      <c r="AC31" s="263" t="str">
        <f t="shared" si="17"/>
        <v/>
      </c>
    </row>
    <row r="32" spans="1:29" ht="15" customHeight="1">
      <c r="A32" s="148"/>
      <c r="B32" s="442" t="s">
        <v>264</v>
      </c>
      <c r="C32" s="443"/>
      <c r="D32" s="444"/>
      <c r="E32" s="225" t="s">
        <v>184</v>
      </c>
      <c r="F32" s="451" t="s">
        <v>400</v>
      </c>
      <c r="G32" s="452"/>
      <c r="H32" s="453" t="s">
        <v>410</v>
      </c>
      <c r="I32" s="454"/>
      <c r="J32" s="454"/>
      <c r="K32" s="454"/>
      <c r="L32" s="454"/>
      <c r="M32" s="454"/>
      <c r="N32" s="454"/>
      <c r="O32" s="454"/>
      <c r="P32" s="454"/>
      <c r="Q32" s="455"/>
      <c r="R32" s="139"/>
      <c r="S32" s="139"/>
      <c r="T32" s="231"/>
      <c r="U32" s="231"/>
      <c r="V32" s="231"/>
      <c r="Y32" s="231"/>
      <c r="Z32" s="231"/>
    </row>
    <row r="33" spans="1:26" ht="15" customHeight="1">
      <c r="A33" s="148"/>
      <c r="B33" s="445"/>
      <c r="C33" s="446"/>
      <c r="D33" s="447"/>
      <c r="E33" s="226" t="s">
        <v>185</v>
      </c>
      <c r="F33" s="462" t="s">
        <v>398</v>
      </c>
      <c r="G33" s="463"/>
      <c r="H33" s="456"/>
      <c r="I33" s="457"/>
      <c r="J33" s="457"/>
      <c r="K33" s="457"/>
      <c r="L33" s="457"/>
      <c r="M33" s="457"/>
      <c r="N33" s="457"/>
      <c r="O33" s="457"/>
      <c r="P33" s="457"/>
      <c r="Q33" s="458"/>
      <c r="R33" s="139"/>
      <c r="S33" s="139"/>
      <c r="T33" s="231"/>
      <c r="U33" s="231"/>
      <c r="V33" s="231"/>
      <c r="Y33" s="231"/>
      <c r="Z33" s="231"/>
    </row>
    <row r="34" spans="1:26" ht="23.25" customHeight="1">
      <c r="A34" s="148"/>
      <c r="B34" s="448"/>
      <c r="C34" s="449"/>
      <c r="D34" s="450"/>
      <c r="E34" s="226" t="s">
        <v>186</v>
      </c>
      <c r="F34" s="462" t="s">
        <v>399</v>
      </c>
      <c r="G34" s="463"/>
      <c r="H34" s="456"/>
      <c r="I34" s="457"/>
      <c r="J34" s="457"/>
      <c r="K34" s="457"/>
      <c r="L34" s="457"/>
      <c r="M34" s="457"/>
      <c r="N34" s="457"/>
      <c r="O34" s="457"/>
      <c r="P34" s="457"/>
      <c r="Q34" s="458"/>
      <c r="R34" s="139"/>
      <c r="S34" s="139"/>
      <c r="T34" s="231"/>
      <c r="U34" s="231"/>
      <c r="V34" s="231"/>
      <c r="Y34" s="231"/>
      <c r="Z34" s="231"/>
    </row>
    <row r="35" spans="1:26" ht="22.5" customHeight="1">
      <c r="A35" s="148"/>
      <c r="B35" s="464" t="s">
        <v>265</v>
      </c>
      <c r="C35" s="465"/>
      <c r="D35" s="466"/>
      <c r="E35" s="436" t="s">
        <v>188</v>
      </c>
      <c r="F35" s="462" t="str">
        <f>参照ﾃﾞｰﾀ!AL14</f>
        <v>ネプチューン</v>
      </c>
      <c r="G35" s="463"/>
      <c r="H35" s="456"/>
      <c r="I35" s="457"/>
      <c r="J35" s="457"/>
      <c r="K35" s="457"/>
      <c r="L35" s="457"/>
      <c r="M35" s="457"/>
      <c r="N35" s="457"/>
      <c r="O35" s="457"/>
      <c r="P35" s="457"/>
      <c r="Q35" s="458"/>
      <c r="R35" s="139"/>
      <c r="S35" s="139"/>
      <c r="T35" s="231"/>
      <c r="U35" s="231"/>
      <c r="V35" s="231"/>
      <c r="Y35" s="231"/>
      <c r="Z35" s="231"/>
    </row>
    <row r="36" spans="1:26" ht="15" customHeight="1">
      <c r="A36" s="148"/>
      <c r="B36" s="467"/>
      <c r="C36" s="468"/>
      <c r="D36" s="469"/>
      <c r="E36" s="475"/>
      <c r="F36" s="462"/>
      <c r="G36" s="463"/>
      <c r="H36" s="456"/>
      <c r="I36" s="457"/>
      <c r="J36" s="457"/>
      <c r="K36" s="457"/>
      <c r="L36" s="457"/>
      <c r="M36" s="457"/>
      <c r="N36" s="457"/>
      <c r="O36" s="457"/>
      <c r="P36" s="457"/>
      <c r="Q36" s="458"/>
      <c r="R36" s="139"/>
      <c r="S36" s="139"/>
      <c r="T36" s="231"/>
      <c r="U36" s="231"/>
      <c r="V36" s="231"/>
      <c r="Y36" s="231"/>
      <c r="Z36" s="231"/>
    </row>
    <row r="37" spans="1:26" ht="15" customHeight="1">
      <c r="A37" s="148"/>
      <c r="B37" s="467"/>
      <c r="C37" s="468"/>
      <c r="D37" s="469"/>
      <c r="E37" s="225" t="s">
        <v>187</v>
      </c>
      <c r="F37" s="476">
        <v>43758</v>
      </c>
      <c r="G37" s="452"/>
      <c r="H37" s="456"/>
      <c r="I37" s="457"/>
      <c r="J37" s="457"/>
      <c r="K37" s="457"/>
      <c r="L37" s="457"/>
      <c r="M37" s="457"/>
      <c r="N37" s="457"/>
      <c r="O37" s="457"/>
      <c r="P37" s="457"/>
      <c r="Q37" s="458"/>
      <c r="R37" s="139"/>
      <c r="S37" s="139"/>
      <c r="T37" s="231"/>
      <c r="U37" s="231"/>
      <c r="V37" s="231"/>
      <c r="Y37" s="231"/>
      <c r="Z37" s="231"/>
    </row>
    <row r="38" spans="1:26" ht="15" customHeight="1">
      <c r="A38" s="148"/>
      <c r="B38" s="467"/>
      <c r="C38" s="468"/>
      <c r="D38" s="469"/>
      <c r="E38" s="226" t="s">
        <v>200</v>
      </c>
      <c r="F38" s="462" t="s">
        <v>235</v>
      </c>
      <c r="G38" s="463"/>
      <c r="H38" s="456"/>
      <c r="I38" s="457"/>
      <c r="J38" s="457"/>
      <c r="K38" s="457"/>
      <c r="L38" s="457"/>
      <c r="M38" s="457"/>
      <c r="N38" s="457"/>
      <c r="O38" s="457"/>
      <c r="P38" s="457"/>
      <c r="Q38" s="458"/>
      <c r="R38" s="139"/>
      <c r="S38" s="139"/>
      <c r="T38" s="231"/>
      <c r="U38" s="231"/>
      <c r="V38" s="231"/>
      <c r="Y38" s="231"/>
      <c r="Z38" s="231"/>
    </row>
    <row r="39" spans="1:26" ht="15" customHeight="1">
      <c r="A39" s="148"/>
      <c r="B39" s="467"/>
      <c r="C39" s="468"/>
      <c r="D39" s="469"/>
      <c r="E39" s="436" t="s">
        <v>188</v>
      </c>
      <c r="F39" s="462" t="str">
        <f>参照ﾃﾞｰﾀ!AL15</f>
        <v>未央</v>
      </c>
      <c r="G39" s="463"/>
      <c r="H39" s="456"/>
      <c r="I39" s="457"/>
      <c r="J39" s="457"/>
      <c r="K39" s="457"/>
      <c r="L39" s="457"/>
      <c r="M39" s="457"/>
      <c r="N39" s="457"/>
      <c r="O39" s="457"/>
      <c r="P39" s="457"/>
      <c r="Q39" s="458"/>
      <c r="R39" s="139"/>
      <c r="S39" s="139"/>
      <c r="T39" s="231"/>
      <c r="U39" s="231"/>
      <c r="V39" s="231"/>
      <c r="Y39" s="231"/>
      <c r="Z39" s="231"/>
    </row>
    <row r="40" spans="1:26" ht="15" customHeight="1">
      <c r="A40" s="148"/>
      <c r="B40" s="467"/>
      <c r="C40" s="468"/>
      <c r="D40" s="469"/>
      <c r="E40" s="436"/>
      <c r="F40" s="462"/>
      <c r="G40" s="463"/>
      <c r="H40" s="456"/>
      <c r="I40" s="457"/>
      <c r="J40" s="457"/>
      <c r="K40" s="457"/>
      <c r="L40" s="457"/>
      <c r="M40" s="457"/>
      <c r="N40" s="457"/>
      <c r="O40" s="457"/>
      <c r="P40" s="457"/>
      <c r="Q40" s="458"/>
      <c r="R40" s="139"/>
      <c r="S40" s="139"/>
      <c r="T40" s="231"/>
      <c r="U40" s="231"/>
      <c r="V40" s="231"/>
      <c r="Y40" s="231"/>
      <c r="Z40" s="231"/>
    </row>
    <row r="41" spans="1:26" ht="11.25" customHeight="1" thickBot="1">
      <c r="A41" s="148"/>
      <c r="B41" s="470"/>
      <c r="C41" s="471"/>
      <c r="D41" s="472"/>
      <c r="E41" s="227"/>
      <c r="F41" s="473"/>
      <c r="G41" s="474"/>
      <c r="H41" s="459"/>
      <c r="I41" s="460"/>
      <c r="J41" s="460"/>
      <c r="K41" s="460"/>
      <c r="L41" s="460"/>
      <c r="M41" s="460"/>
      <c r="N41" s="460"/>
      <c r="O41" s="460"/>
      <c r="P41" s="460"/>
      <c r="Q41" s="461"/>
      <c r="R41" s="139"/>
      <c r="S41" s="139"/>
      <c r="T41" s="231"/>
      <c r="U41" s="231"/>
      <c r="V41" s="231"/>
      <c r="W41" s="231"/>
      <c r="X41" s="231"/>
      <c r="Y41" s="231"/>
      <c r="Z41" s="231"/>
    </row>
    <row r="42" spans="1:26">
      <c r="A42" s="148"/>
      <c r="B42" s="148"/>
      <c r="C42" s="148"/>
      <c r="D42" s="148"/>
      <c r="E42" s="148"/>
      <c r="F42" s="148"/>
      <c r="G42" s="148"/>
      <c r="H42" s="148"/>
      <c r="I42" s="148"/>
      <c r="J42" s="148"/>
      <c r="K42" s="148"/>
      <c r="L42" s="148"/>
      <c r="M42" s="148"/>
      <c r="N42" s="148"/>
      <c r="O42" s="148"/>
      <c r="P42" s="148"/>
      <c r="Q42" s="148"/>
      <c r="R42" s="148"/>
      <c r="S42" s="148"/>
    </row>
  </sheetData>
  <sheetProtection algorithmName="SHA-512" hashValue="Lvp0O70IoGTX0zm2k9GX4BNozdS4SNny+i+55mEGQ2k/KIOUK3xU42Uu4L/KUQj2/9SNutugtzfbvHgwwit4Gw==" saltValue="ebzndNNO2vnC5r1f6tueWw==" spinCount="100000" sheet="1" objects="1" scenarios="1"/>
  <sortState ref="C7:K17">
    <sortCondition ref="K7:K17"/>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85" zoomScaleNormal="85" workbookViewId="0">
      <selection activeCell="I44" sqref="I44"/>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625" style="230" bestFit="1" customWidth="1"/>
    <col min="13" max="13" width="9.5" style="230" customWidth="1"/>
    <col min="14" max="14" width="7.875" style="230" customWidth="1"/>
    <col min="15" max="15" width="8" style="230" customWidth="1"/>
    <col min="16" max="16" width="12" style="230" bestFit="1" customWidth="1"/>
    <col min="17" max="17" width="11.625" style="230" customWidth="1"/>
    <col min="18" max="18" width="1.5" style="230" customWidth="1"/>
    <col min="19" max="19" width="4.625" style="230" customWidth="1"/>
    <col min="20" max="22" width="7.625" style="230" customWidth="1"/>
    <col min="23" max="23" width="8.25" style="230" customWidth="1"/>
    <col min="24" max="25" width="7.625" style="230" customWidth="1"/>
    <col min="26" max="26" width="4.5" style="230" customWidth="1"/>
    <col min="27" max="29" width="8" style="230" customWidth="1"/>
    <col min="30" max="16384" width="9" style="230"/>
  </cols>
  <sheetData>
    <row r="1" spans="1:29" ht="9.75" customHeight="1" thickBot="1">
      <c r="A1" s="148"/>
      <c r="B1" s="148"/>
      <c r="C1" s="148"/>
      <c r="D1" s="148"/>
      <c r="E1" s="148"/>
      <c r="F1" s="148"/>
      <c r="G1" s="148"/>
      <c r="H1" s="148"/>
      <c r="I1" s="148"/>
      <c r="J1" s="148"/>
      <c r="K1" s="148"/>
      <c r="L1" s="148"/>
      <c r="M1" s="148"/>
      <c r="N1" s="148"/>
      <c r="O1" s="148"/>
      <c r="P1" s="148"/>
      <c r="Q1" s="148"/>
      <c r="R1" s="148"/>
      <c r="S1" s="148"/>
    </row>
    <row r="2" spans="1:29" ht="21">
      <c r="A2" s="148"/>
      <c r="B2" s="139"/>
      <c r="C2" s="140"/>
      <c r="D2" s="437" t="str">
        <f>参照ﾃﾞｰﾀ!P4</f>
        <v>2019年</v>
      </c>
      <c r="E2" s="437"/>
      <c r="F2" s="437"/>
      <c r="G2" s="141" t="s">
        <v>198</v>
      </c>
      <c r="H2" s="142"/>
      <c r="I2" s="143"/>
      <c r="J2" s="139"/>
      <c r="K2" s="144"/>
      <c r="L2" s="139"/>
      <c r="M2" s="145" t="s">
        <v>52</v>
      </c>
      <c r="N2" s="146" t="s">
        <v>235</v>
      </c>
      <c r="O2" s="147" t="s">
        <v>54</v>
      </c>
      <c r="P2" s="280">
        <v>43786</v>
      </c>
      <c r="Q2" s="281">
        <v>0.41666666666666669</v>
      </c>
      <c r="R2" s="139"/>
      <c r="S2" s="139"/>
      <c r="T2" s="232" t="s">
        <v>2</v>
      </c>
      <c r="U2" s="231"/>
      <c r="V2" s="231"/>
      <c r="W2" s="231"/>
      <c r="X2" s="231"/>
      <c r="Y2" s="231"/>
      <c r="Z2" s="231"/>
    </row>
    <row r="3" spans="1:29" ht="21.75" customHeight="1" thickBot="1">
      <c r="A3" s="148"/>
      <c r="B3" s="139"/>
      <c r="C3" s="148"/>
      <c r="D3" s="400" t="s">
        <v>250</v>
      </c>
      <c r="E3" s="438" t="s">
        <v>64</v>
      </c>
      <c r="F3" s="438"/>
      <c r="G3" s="438"/>
      <c r="H3" s="438"/>
      <c r="I3" s="438"/>
      <c r="J3" s="439" t="s">
        <v>86</v>
      </c>
      <c r="K3" s="439"/>
      <c r="L3" s="139"/>
      <c r="M3" s="150" t="s">
        <v>75</v>
      </c>
      <c r="N3" s="151">
        <v>16.7</v>
      </c>
      <c r="O3" s="152" t="s">
        <v>0</v>
      </c>
      <c r="P3" s="153">
        <v>13</v>
      </c>
      <c r="Q3" s="154" t="s">
        <v>1</v>
      </c>
      <c r="R3" s="139"/>
      <c r="S3" s="139"/>
      <c r="T3" s="231" t="s">
        <v>234</v>
      </c>
      <c r="U3" s="231"/>
      <c r="V3" s="231"/>
      <c r="W3" s="232" t="s">
        <v>2</v>
      </c>
      <c r="X3" s="231"/>
      <c r="Y3" s="231"/>
      <c r="Z3" s="231"/>
      <c r="AA3" s="233" t="s">
        <v>76</v>
      </c>
    </row>
    <row r="4" spans="1:29" ht="7.5" customHeight="1" thickBot="1">
      <c r="A4" s="148"/>
      <c r="B4" s="139"/>
      <c r="C4" s="139"/>
      <c r="D4" s="139"/>
      <c r="E4" s="139"/>
      <c r="F4" s="139"/>
      <c r="G4" s="139"/>
      <c r="H4" s="139"/>
      <c r="I4" s="139"/>
      <c r="J4" s="139"/>
      <c r="K4" s="139"/>
      <c r="L4" s="139"/>
      <c r="M4" s="139"/>
      <c r="N4" s="139"/>
      <c r="O4" s="139"/>
      <c r="P4" s="139"/>
      <c r="Q4" s="139"/>
      <c r="R4" s="139"/>
      <c r="S4" s="139"/>
      <c r="T4" s="231"/>
      <c r="U4" s="231"/>
      <c r="V4" s="231"/>
      <c r="W4" s="234"/>
      <c r="X4" s="231"/>
      <c r="Y4" s="231"/>
      <c r="Z4" s="231"/>
    </row>
    <row r="5" spans="1:29"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228"/>
      <c r="S5" s="228"/>
      <c r="T5" s="237" t="s">
        <v>10</v>
      </c>
      <c r="U5" s="235" t="s">
        <v>10</v>
      </c>
      <c r="V5" s="238" t="s">
        <v>10</v>
      </c>
      <c r="W5" s="237" t="s">
        <v>10</v>
      </c>
      <c r="X5" s="235" t="s">
        <v>10</v>
      </c>
      <c r="Y5" s="238" t="s">
        <v>10</v>
      </c>
      <c r="Z5" s="236"/>
      <c r="AA5" s="237" t="s">
        <v>13</v>
      </c>
      <c r="AB5" s="235" t="s">
        <v>13</v>
      </c>
      <c r="AC5" s="238" t="s">
        <v>13</v>
      </c>
    </row>
    <row r="6" spans="1:29" ht="14.25">
      <c r="A6" s="148"/>
      <c r="B6" s="158"/>
      <c r="C6" s="159" t="s">
        <v>14</v>
      </c>
      <c r="D6" s="160"/>
      <c r="E6" s="161" t="s">
        <v>15</v>
      </c>
      <c r="F6" s="161"/>
      <c r="G6" s="159" t="s">
        <v>16</v>
      </c>
      <c r="H6" s="161" t="s">
        <v>17</v>
      </c>
      <c r="I6" s="159" t="s">
        <v>232</v>
      </c>
      <c r="J6" s="161" t="s">
        <v>18</v>
      </c>
      <c r="K6" s="161" t="s">
        <v>17</v>
      </c>
      <c r="L6" s="159" t="s">
        <v>16</v>
      </c>
      <c r="M6" s="161" t="s">
        <v>46</v>
      </c>
      <c r="N6" s="161" t="s">
        <v>19</v>
      </c>
      <c r="O6" s="162" t="str">
        <f>"MAX=20"</f>
        <v>MAX=20</v>
      </c>
      <c r="P6" s="163"/>
      <c r="Q6" s="164"/>
      <c r="R6" s="229"/>
      <c r="S6" s="229"/>
      <c r="T6" s="241" t="s">
        <v>20</v>
      </c>
      <c r="U6" s="239" t="s">
        <v>22</v>
      </c>
      <c r="V6" s="242" t="s">
        <v>21</v>
      </c>
      <c r="W6" s="241" t="s">
        <v>20</v>
      </c>
      <c r="X6" s="239" t="s">
        <v>22</v>
      </c>
      <c r="Y6" s="242" t="s">
        <v>21</v>
      </c>
      <c r="Z6" s="240"/>
      <c r="AA6" s="241" t="s">
        <v>78</v>
      </c>
      <c r="AB6" s="239" t="s">
        <v>79</v>
      </c>
      <c r="AC6" s="242" t="s">
        <v>80</v>
      </c>
    </row>
    <row r="7" spans="1:29" ht="14.25">
      <c r="A7" s="148"/>
      <c r="B7" s="165">
        <v>1</v>
      </c>
      <c r="C7" s="166">
        <v>150</v>
      </c>
      <c r="D7" s="167" t="str">
        <f t="shared" ref="D7:D21" si="0">IF(ISBLANK(C7),"",VLOOKUP(C7,各艇データ,2,FALSE))</f>
        <v>SHARK X</v>
      </c>
      <c r="E7" s="265">
        <f t="shared" ref="E7:E20" si="1">IF($I$6="Ⅰ",T7,IF($I$6="Ⅱ",U7,IF($I$6="Ⅲ",V7,"")))</f>
        <v>8.68</v>
      </c>
      <c r="F7" s="168">
        <v>2</v>
      </c>
      <c r="G7" s="169">
        <v>0.55585648148148148</v>
      </c>
      <c r="H7" s="166">
        <f t="shared" ref="H7:H20" si="2">IFERROR(IF(G7-$Q$2&lt;=0,"",(G7-$Q$2)*86400),"")</f>
        <v>12025.999999999998</v>
      </c>
      <c r="I7" s="170">
        <f t="shared" ref="I7:I20" si="3">IF($I$6="Ⅰ",W7,IF($I$6="Ⅱ",X7,IF($I$6="Ⅲ",Y7,"")))</f>
        <v>588.9</v>
      </c>
      <c r="J7" s="168"/>
      <c r="K7" s="171">
        <f t="shared" ref="K7:K20" si="4">IFERROR(H7*(1+0.01*J7)-I7*$N$3,"")</f>
        <v>2191.369999999999</v>
      </c>
      <c r="L7" s="169">
        <f t="shared" ref="L7:L16" si="5">IFERROR((K7-$K$7)/86400,"")</f>
        <v>0</v>
      </c>
      <c r="M7" s="172">
        <f t="shared" ref="M7:M16" si="6">IFERROR((K7-$K$7)/$N$3,"")</f>
        <v>0</v>
      </c>
      <c r="N7" s="173">
        <f t="shared" ref="N7:N16" si="7">IFERROR($N$3/(H7/3600),"")</f>
        <v>4.9991684683186435</v>
      </c>
      <c r="O7" s="174">
        <f t="shared" ref="O7:O16" si="8">ROUND(IF($O$6="MAX=20",AA7,IF($O$6="MAX=30",AB7,IF($O$6="MAX=40",AC7,""))),1)</f>
        <v>20</v>
      </c>
      <c r="P7" s="270"/>
      <c r="Q7" s="175"/>
      <c r="R7" s="228"/>
      <c r="S7" s="228"/>
      <c r="T7" s="244">
        <f t="shared" ref="T7:T31" si="9">IF(ISBLANK(C7),"",VLOOKUP(C7,各艇データ,3,FALSE))</f>
        <v>9.06</v>
      </c>
      <c r="U7" s="245">
        <f t="shared" ref="U7:U31" si="10">IF(ISBLANK(C7),"",VLOOKUP(C7,各艇データ,4,FALSE))</f>
        <v>8.68</v>
      </c>
      <c r="V7" s="246">
        <f t="shared" ref="V7:V31" si="11">IF(ISBLANK(C7),"",VLOOKUP(C7,各艇データ,5,FALSE))</f>
        <v>8.5</v>
      </c>
      <c r="W7" s="247">
        <f t="shared" ref="W7:W31" si="12">IF(ISBLANK(C7),"",VLOOKUP(C7,各艇データ,6,FALSE))</f>
        <v>936.4</v>
      </c>
      <c r="X7" s="248">
        <f t="shared" ref="X7:X31" si="13">IF(ISBLANK(C7),"",VLOOKUP(C7,各艇データ,7,FALSE))</f>
        <v>588.9</v>
      </c>
      <c r="Y7" s="249">
        <f t="shared" ref="Y7:Y31" si="14">IF(ISBLANK(C7),"",VLOOKUP(C7,各艇データ,8,FALSE))</f>
        <v>524.4</v>
      </c>
      <c r="Z7" s="236"/>
      <c r="AA7" s="250">
        <f>IF(ISBLANK(B7),"",IFERROR(20*($P$3+1-$B7)/$P$3,"20.0"))</f>
        <v>20</v>
      </c>
      <c r="AB7" s="243">
        <f>IF(ISBLANK(B7),"",IFERROR(30*($P$3+1-$B7)/$P$3,"30.0"))</f>
        <v>30</v>
      </c>
      <c r="AC7" s="251">
        <f>IF(ISBLANK(B7),"",IFERROR(30*($P$3-$B7)/($P$3-1)+10,"20.0"))</f>
        <v>40</v>
      </c>
    </row>
    <row r="8" spans="1:29" ht="14.25">
      <c r="A8" s="148"/>
      <c r="B8" s="176">
        <v>2</v>
      </c>
      <c r="C8" s="177">
        <v>6793</v>
      </c>
      <c r="D8" s="178" t="str">
        <f t="shared" si="0"/>
        <v>Miss Nippon Ⅷ</v>
      </c>
      <c r="E8" s="266">
        <f t="shared" si="1"/>
        <v>10.61</v>
      </c>
      <c r="F8" s="179">
        <v>1</v>
      </c>
      <c r="G8" s="180">
        <v>0.55246527777777776</v>
      </c>
      <c r="H8" s="177">
        <f t="shared" si="2"/>
        <v>11732.999999999996</v>
      </c>
      <c r="I8" s="181">
        <f t="shared" si="3"/>
        <v>549.1</v>
      </c>
      <c r="J8" s="179"/>
      <c r="K8" s="182">
        <f t="shared" si="4"/>
        <v>2563.029999999997</v>
      </c>
      <c r="L8" s="180">
        <f t="shared" si="5"/>
        <v>4.301620370370348E-3</v>
      </c>
      <c r="M8" s="183">
        <f t="shared" si="6"/>
        <v>22.255089820359164</v>
      </c>
      <c r="N8" s="184">
        <f t="shared" si="7"/>
        <v>5.1240092048069563</v>
      </c>
      <c r="O8" s="185">
        <f t="shared" si="8"/>
        <v>18.5</v>
      </c>
      <c r="P8" s="186"/>
      <c r="Q8" s="187"/>
      <c r="R8" s="228"/>
      <c r="S8" s="228"/>
      <c r="T8" s="244">
        <f t="shared" si="9"/>
        <v>10.61</v>
      </c>
      <c r="U8" s="245">
        <f t="shared" si="10"/>
        <v>10.61</v>
      </c>
      <c r="V8" s="246">
        <f t="shared" si="11"/>
        <v>10.26</v>
      </c>
      <c r="W8" s="247">
        <f t="shared" si="12"/>
        <v>887.5</v>
      </c>
      <c r="X8" s="248">
        <f t="shared" si="13"/>
        <v>549.1</v>
      </c>
      <c r="Y8" s="249">
        <f t="shared" si="14"/>
        <v>485.5</v>
      </c>
      <c r="Z8" s="236"/>
      <c r="AA8" s="250">
        <f t="shared" ref="AA8:AA31" si="15">IF(ISBLANK(B8),"",IFERROR(20*($P$3+1-$B8)/$P$3,"20.0"))</f>
        <v>18.46153846153846</v>
      </c>
      <c r="AB8" s="243">
        <f t="shared" ref="AB8:AB31" si="16">IF(ISBLANK(B8),"",IFERROR(30*($P$3+1-$B8)/$P$3,"30.0"))</f>
        <v>27.692307692307693</v>
      </c>
      <c r="AC8" s="251">
        <f t="shared" ref="AC8:AC31" si="17">IF(ISBLANK(B8),"",IFERROR(30*($P$3-$B8)/($P$3-1)+10,"20.0"))</f>
        <v>37.5</v>
      </c>
    </row>
    <row r="9" spans="1:29" ht="14.25">
      <c r="A9" s="148"/>
      <c r="B9" s="176">
        <v>3</v>
      </c>
      <c r="C9" s="177">
        <v>321</v>
      </c>
      <c r="D9" s="178" t="str">
        <f t="shared" si="0"/>
        <v>かまくら</v>
      </c>
      <c r="E9" s="266">
        <f t="shared" si="1"/>
        <v>9.51</v>
      </c>
      <c r="F9" s="179">
        <v>3</v>
      </c>
      <c r="G9" s="180">
        <v>0.5623379629629629</v>
      </c>
      <c r="H9" s="177">
        <f t="shared" si="2"/>
        <v>12585.999999999993</v>
      </c>
      <c r="I9" s="181">
        <f t="shared" si="3"/>
        <v>570.5</v>
      </c>
      <c r="J9" s="179"/>
      <c r="K9" s="182">
        <f t="shared" si="4"/>
        <v>3058.6499999999924</v>
      </c>
      <c r="L9" s="180">
        <f t="shared" si="5"/>
        <v>1.0037962962962886E-2</v>
      </c>
      <c r="M9" s="183">
        <f t="shared" si="6"/>
        <v>51.932934131736133</v>
      </c>
      <c r="N9" s="184">
        <f t="shared" si="7"/>
        <v>4.7767360559351681</v>
      </c>
      <c r="O9" s="185">
        <f t="shared" si="8"/>
        <v>16.899999999999999</v>
      </c>
      <c r="P9" s="186"/>
      <c r="Q9" s="187"/>
      <c r="R9" s="228"/>
      <c r="S9" s="228"/>
      <c r="T9" s="244">
        <f t="shared" si="9"/>
        <v>10.15</v>
      </c>
      <c r="U9" s="245">
        <f t="shared" si="10"/>
        <v>9.51</v>
      </c>
      <c r="V9" s="246">
        <f t="shared" si="11"/>
        <v>9.44</v>
      </c>
      <c r="W9" s="247">
        <f t="shared" si="12"/>
        <v>900.8</v>
      </c>
      <c r="X9" s="248">
        <f t="shared" si="13"/>
        <v>570.5</v>
      </c>
      <c r="Y9" s="249">
        <f t="shared" si="14"/>
        <v>502.2</v>
      </c>
      <c r="Z9" s="236"/>
      <c r="AA9" s="250">
        <f t="shared" si="15"/>
        <v>16.923076923076923</v>
      </c>
      <c r="AB9" s="243">
        <f t="shared" si="16"/>
        <v>25.384615384615383</v>
      </c>
      <c r="AC9" s="251">
        <f t="shared" si="17"/>
        <v>35</v>
      </c>
    </row>
    <row r="10" spans="1:29" ht="14.25">
      <c r="A10" s="148"/>
      <c r="B10" s="176">
        <v>4</v>
      </c>
      <c r="C10" s="177">
        <v>5752</v>
      </c>
      <c r="D10" s="178" t="str">
        <f t="shared" si="0"/>
        <v>アルファ</v>
      </c>
      <c r="E10" s="266">
        <f t="shared" si="1"/>
        <v>10.18</v>
      </c>
      <c r="F10" s="179">
        <v>4</v>
      </c>
      <c r="G10" s="180">
        <v>0.56518518518518512</v>
      </c>
      <c r="H10" s="177">
        <f t="shared" si="2"/>
        <v>12831.999999999993</v>
      </c>
      <c r="I10" s="181">
        <f t="shared" si="3"/>
        <v>557</v>
      </c>
      <c r="J10" s="179"/>
      <c r="K10" s="182">
        <f t="shared" si="4"/>
        <v>3530.0999999999931</v>
      </c>
      <c r="L10" s="180">
        <f t="shared" si="5"/>
        <v>1.5494560185185116E-2</v>
      </c>
      <c r="M10" s="183">
        <f t="shared" si="6"/>
        <v>80.163473053891863</v>
      </c>
      <c r="N10" s="184">
        <f t="shared" si="7"/>
        <v>4.6851620947630943</v>
      </c>
      <c r="O10" s="185">
        <f t="shared" si="8"/>
        <v>15.4</v>
      </c>
      <c r="P10" s="258"/>
      <c r="Q10" s="187"/>
      <c r="R10" s="228"/>
      <c r="S10" s="228"/>
      <c r="T10" s="244">
        <f t="shared" si="9"/>
        <v>10.43</v>
      </c>
      <c r="U10" s="245">
        <f t="shared" si="10"/>
        <v>10.18</v>
      </c>
      <c r="V10" s="246">
        <f t="shared" si="11"/>
        <v>9.92</v>
      </c>
      <c r="W10" s="247">
        <f t="shared" si="12"/>
        <v>892.7</v>
      </c>
      <c r="X10" s="248">
        <f t="shared" si="13"/>
        <v>557</v>
      </c>
      <c r="Y10" s="249">
        <f t="shared" si="14"/>
        <v>492.1</v>
      </c>
      <c r="Z10" s="236"/>
      <c r="AA10" s="250">
        <f t="shared" si="15"/>
        <v>15.384615384615385</v>
      </c>
      <c r="AB10" s="243">
        <f t="shared" si="16"/>
        <v>23.076923076923077</v>
      </c>
      <c r="AC10" s="251">
        <f t="shared" si="17"/>
        <v>32.5</v>
      </c>
    </row>
    <row r="11" spans="1:29" ht="14.25">
      <c r="A11" s="148"/>
      <c r="B11" s="188">
        <v>5</v>
      </c>
      <c r="C11" s="189">
        <v>1611</v>
      </c>
      <c r="D11" s="190" t="str">
        <f t="shared" si="0"/>
        <v>ﾈﾌﾟﾁｭｰﾝXⅡ</v>
      </c>
      <c r="E11" s="267">
        <f t="shared" si="1"/>
        <v>8.15</v>
      </c>
      <c r="F11" s="191">
        <v>6</v>
      </c>
      <c r="G11" s="192">
        <v>0.57883101851851848</v>
      </c>
      <c r="H11" s="193">
        <f t="shared" si="2"/>
        <v>14010.999999999995</v>
      </c>
      <c r="I11" s="194">
        <f t="shared" si="3"/>
        <v>602.20000000000005</v>
      </c>
      <c r="J11" s="195"/>
      <c r="K11" s="196">
        <f t="shared" si="4"/>
        <v>3954.2599999999948</v>
      </c>
      <c r="L11" s="197">
        <f t="shared" si="5"/>
        <v>2.0403819444444395E-2</v>
      </c>
      <c r="M11" s="198">
        <f t="shared" si="6"/>
        <v>105.56227544910155</v>
      </c>
      <c r="N11" s="199">
        <f t="shared" si="7"/>
        <v>4.2909142816358585</v>
      </c>
      <c r="O11" s="200">
        <f t="shared" si="8"/>
        <v>13.8</v>
      </c>
      <c r="P11" s="201"/>
      <c r="Q11" s="202"/>
      <c r="R11" s="228"/>
      <c r="S11" s="228"/>
      <c r="T11" s="244">
        <f t="shared" si="9"/>
        <v>8.0299999999999994</v>
      </c>
      <c r="U11" s="245">
        <f t="shared" si="10"/>
        <v>8.15</v>
      </c>
      <c r="V11" s="246">
        <f t="shared" si="11"/>
        <v>7.98</v>
      </c>
      <c r="W11" s="247">
        <f t="shared" si="12"/>
        <v>975.7</v>
      </c>
      <c r="X11" s="248">
        <f t="shared" si="13"/>
        <v>602.20000000000005</v>
      </c>
      <c r="Y11" s="249">
        <f t="shared" si="14"/>
        <v>538.1</v>
      </c>
      <c r="Z11" s="236"/>
      <c r="AA11" s="250">
        <f t="shared" si="15"/>
        <v>13.846153846153847</v>
      </c>
      <c r="AB11" s="243">
        <f t="shared" si="16"/>
        <v>20.76923076923077</v>
      </c>
      <c r="AC11" s="251">
        <f t="shared" si="17"/>
        <v>30</v>
      </c>
    </row>
    <row r="12" spans="1:29" ht="14.25">
      <c r="A12" s="148"/>
      <c r="B12" s="165">
        <v>6</v>
      </c>
      <c r="C12" s="166">
        <v>1733</v>
      </c>
      <c r="D12" s="167" t="str">
        <f t="shared" si="0"/>
        <v>ケロニア</v>
      </c>
      <c r="E12" s="265">
        <f t="shared" si="1"/>
        <v>9.57</v>
      </c>
      <c r="F12" s="168">
        <v>5</v>
      </c>
      <c r="G12" s="169">
        <v>0.57608796296296294</v>
      </c>
      <c r="H12" s="166">
        <f t="shared" si="2"/>
        <v>13773.999999999996</v>
      </c>
      <c r="I12" s="170">
        <f t="shared" si="3"/>
        <v>569.29999999999995</v>
      </c>
      <c r="J12" s="168"/>
      <c r="K12" s="171">
        <f t="shared" si="4"/>
        <v>4266.6899999999969</v>
      </c>
      <c r="L12" s="169">
        <f t="shared" si="5"/>
        <v>2.4019907407407382E-2</v>
      </c>
      <c r="M12" s="172">
        <f t="shared" si="6"/>
        <v>124.2706586826346</v>
      </c>
      <c r="N12" s="173">
        <f t="shared" si="7"/>
        <v>4.3647451720633086</v>
      </c>
      <c r="O12" s="174">
        <f t="shared" si="8"/>
        <v>12.3</v>
      </c>
      <c r="P12" s="148"/>
      <c r="Q12" s="175"/>
      <c r="R12" s="228"/>
      <c r="S12" s="228"/>
      <c r="T12" s="244">
        <f t="shared" si="9"/>
        <v>9.67</v>
      </c>
      <c r="U12" s="245">
        <f t="shared" si="10"/>
        <v>9.57</v>
      </c>
      <c r="V12" s="246">
        <f t="shared" si="11"/>
        <v>9.4</v>
      </c>
      <c r="W12" s="247">
        <f t="shared" si="12"/>
        <v>915.7</v>
      </c>
      <c r="X12" s="248">
        <f t="shared" si="13"/>
        <v>569.29999999999995</v>
      </c>
      <c r="Y12" s="249">
        <f t="shared" si="14"/>
        <v>503.2</v>
      </c>
      <c r="Z12" s="236"/>
      <c r="AA12" s="250">
        <f t="shared" si="15"/>
        <v>12.307692307692308</v>
      </c>
      <c r="AB12" s="243">
        <f t="shared" si="16"/>
        <v>18.46153846153846</v>
      </c>
      <c r="AC12" s="251">
        <f t="shared" si="17"/>
        <v>27.5</v>
      </c>
    </row>
    <row r="13" spans="1:29" ht="14.25">
      <c r="A13" s="148"/>
      <c r="B13" s="176">
        <v>7</v>
      </c>
      <c r="C13" s="177">
        <v>6732</v>
      </c>
      <c r="D13" s="178" t="str">
        <f t="shared" si="0"/>
        <v>アイデアル</v>
      </c>
      <c r="E13" s="266">
        <f t="shared" si="1"/>
        <v>9.1300000000000008</v>
      </c>
      <c r="F13" s="179">
        <v>7</v>
      </c>
      <c r="G13" s="180">
        <v>0.5869212962962963</v>
      </c>
      <c r="H13" s="177">
        <f t="shared" si="2"/>
        <v>14709.999999999998</v>
      </c>
      <c r="I13" s="181">
        <f t="shared" si="3"/>
        <v>578.79999999999995</v>
      </c>
      <c r="J13" s="179"/>
      <c r="K13" s="182">
        <f t="shared" si="4"/>
        <v>5044.0399999999991</v>
      </c>
      <c r="L13" s="180">
        <f t="shared" si="5"/>
        <v>3.3017013888888891E-2</v>
      </c>
      <c r="M13" s="183">
        <f t="shared" si="6"/>
        <v>170.81856287425151</v>
      </c>
      <c r="N13" s="184">
        <f t="shared" si="7"/>
        <v>4.0870156356220262</v>
      </c>
      <c r="O13" s="185">
        <f t="shared" si="8"/>
        <v>10.8</v>
      </c>
      <c r="P13" s="219"/>
      <c r="Q13" s="187"/>
      <c r="R13" s="228"/>
      <c r="S13" s="228"/>
      <c r="T13" s="244">
        <f t="shared" si="9"/>
        <v>9.59</v>
      </c>
      <c r="U13" s="245">
        <f t="shared" si="10"/>
        <v>9.1300000000000008</v>
      </c>
      <c r="V13" s="246">
        <f t="shared" si="11"/>
        <v>8.76</v>
      </c>
      <c r="W13" s="247">
        <f t="shared" si="12"/>
        <v>918.4</v>
      </c>
      <c r="X13" s="248">
        <f t="shared" si="13"/>
        <v>578.79999999999995</v>
      </c>
      <c r="Y13" s="249">
        <f t="shared" si="14"/>
        <v>518</v>
      </c>
      <c r="Z13" s="236"/>
      <c r="AA13" s="250">
        <f t="shared" si="15"/>
        <v>10.76923076923077</v>
      </c>
      <c r="AB13" s="243">
        <f t="shared" si="16"/>
        <v>16.153846153846153</v>
      </c>
      <c r="AC13" s="251">
        <f t="shared" si="17"/>
        <v>25</v>
      </c>
    </row>
    <row r="14" spans="1:29" ht="14.25">
      <c r="A14" s="148"/>
      <c r="B14" s="176">
        <v>8</v>
      </c>
      <c r="C14" s="177">
        <v>312</v>
      </c>
      <c r="D14" s="178" t="str">
        <f t="shared" si="0"/>
        <v>はやとり</v>
      </c>
      <c r="E14" s="266">
        <f t="shared" si="1"/>
        <v>8.09</v>
      </c>
      <c r="F14" s="179">
        <v>8</v>
      </c>
      <c r="G14" s="180">
        <v>0.60015046296296293</v>
      </c>
      <c r="H14" s="177">
        <f t="shared" si="2"/>
        <v>15852.999999999995</v>
      </c>
      <c r="I14" s="181">
        <f t="shared" si="3"/>
        <v>603.70000000000005</v>
      </c>
      <c r="J14" s="179"/>
      <c r="K14" s="182">
        <f t="shared" si="4"/>
        <v>5771.2099999999937</v>
      </c>
      <c r="L14" s="180">
        <f t="shared" si="5"/>
        <v>4.1433333333333273E-2</v>
      </c>
      <c r="M14" s="183">
        <f t="shared" si="6"/>
        <v>214.36167664670629</v>
      </c>
      <c r="N14" s="184">
        <f t="shared" si="7"/>
        <v>3.792342143442883</v>
      </c>
      <c r="O14" s="185">
        <f t="shared" si="8"/>
        <v>9.1999999999999993</v>
      </c>
      <c r="P14" s="186"/>
      <c r="Q14" s="187"/>
      <c r="R14" s="228"/>
      <c r="S14" s="228"/>
      <c r="T14" s="244">
        <f t="shared" si="9"/>
        <v>8.11</v>
      </c>
      <c r="U14" s="245">
        <f t="shared" si="10"/>
        <v>8.09</v>
      </c>
      <c r="V14" s="246">
        <f t="shared" si="11"/>
        <v>8.07</v>
      </c>
      <c r="W14" s="247">
        <f t="shared" si="12"/>
        <v>972.4</v>
      </c>
      <c r="X14" s="248">
        <f t="shared" si="13"/>
        <v>603.70000000000005</v>
      </c>
      <c r="Y14" s="249">
        <f t="shared" si="14"/>
        <v>535.70000000000005</v>
      </c>
      <c r="Z14" s="236"/>
      <c r="AA14" s="250">
        <f t="shared" si="15"/>
        <v>9.2307692307692299</v>
      </c>
      <c r="AB14" s="243">
        <f t="shared" si="16"/>
        <v>13.846153846153847</v>
      </c>
      <c r="AC14" s="251">
        <f t="shared" si="17"/>
        <v>22.5</v>
      </c>
    </row>
    <row r="15" spans="1:29" ht="14.25">
      <c r="A15" s="148"/>
      <c r="B15" s="176">
        <v>9</v>
      </c>
      <c r="C15" s="177">
        <v>5496</v>
      </c>
      <c r="D15" s="178" t="str">
        <f t="shared" si="0"/>
        <v>桜工</v>
      </c>
      <c r="E15" s="266">
        <f t="shared" si="1"/>
        <v>8.7799999999999994</v>
      </c>
      <c r="F15" s="179">
        <v>9</v>
      </c>
      <c r="G15" s="180">
        <v>0.60269675925925925</v>
      </c>
      <c r="H15" s="177">
        <f t="shared" si="2"/>
        <v>16072.999999999998</v>
      </c>
      <c r="I15" s="181">
        <f t="shared" si="3"/>
        <v>586.6</v>
      </c>
      <c r="J15" s="179"/>
      <c r="K15" s="182">
        <f t="shared" si="4"/>
        <v>6276.7799999999988</v>
      </c>
      <c r="L15" s="180">
        <f t="shared" si="5"/>
        <v>4.7284837962962963E-2</v>
      </c>
      <c r="M15" s="183">
        <f t="shared" si="6"/>
        <v>244.63532934131737</v>
      </c>
      <c r="N15" s="184">
        <f t="shared" si="7"/>
        <v>3.7404342686492877</v>
      </c>
      <c r="O15" s="185">
        <f t="shared" si="8"/>
        <v>7.7</v>
      </c>
      <c r="P15" s="219"/>
      <c r="Q15" s="187"/>
      <c r="R15" s="228"/>
      <c r="S15" s="228"/>
      <c r="T15" s="244">
        <f t="shared" si="9"/>
        <v>9.09</v>
      </c>
      <c r="U15" s="245">
        <f t="shared" si="10"/>
        <v>8.7799999999999994</v>
      </c>
      <c r="V15" s="246">
        <f t="shared" si="11"/>
        <v>8.74</v>
      </c>
      <c r="W15" s="247">
        <f t="shared" si="12"/>
        <v>935.4</v>
      </c>
      <c r="X15" s="248">
        <f t="shared" si="13"/>
        <v>586.6</v>
      </c>
      <c r="Y15" s="249">
        <f t="shared" si="14"/>
        <v>518.5</v>
      </c>
      <c r="Z15" s="236"/>
      <c r="AA15" s="250">
        <f t="shared" si="15"/>
        <v>7.6923076923076925</v>
      </c>
      <c r="AB15" s="243">
        <f t="shared" si="16"/>
        <v>11.538461538461538</v>
      </c>
      <c r="AC15" s="251">
        <f t="shared" si="17"/>
        <v>20</v>
      </c>
    </row>
    <row r="16" spans="1:29" ht="14.25">
      <c r="A16" s="148"/>
      <c r="B16" s="188">
        <v>10</v>
      </c>
      <c r="C16" s="189">
        <v>199</v>
      </c>
      <c r="D16" s="190" t="str">
        <f t="shared" si="0"/>
        <v>サ－モン4</v>
      </c>
      <c r="E16" s="267">
        <f t="shared" si="1"/>
        <v>9.15</v>
      </c>
      <c r="F16" s="191">
        <v>10</v>
      </c>
      <c r="G16" s="192">
        <v>0.6173495370370371</v>
      </c>
      <c r="H16" s="189">
        <f t="shared" si="2"/>
        <v>17339.000000000004</v>
      </c>
      <c r="I16" s="203">
        <f t="shared" si="3"/>
        <v>578.20000000000005</v>
      </c>
      <c r="J16" s="191"/>
      <c r="K16" s="205">
        <f t="shared" si="4"/>
        <v>7683.0600000000031</v>
      </c>
      <c r="L16" s="192">
        <f t="shared" si="5"/>
        <v>6.3561226851851893E-2</v>
      </c>
      <c r="M16" s="206">
        <f t="shared" si="6"/>
        <v>328.84371257485054</v>
      </c>
      <c r="N16" s="207">
        <f t="shared" si="7"/>
        <v>3.4673279889266966</v>
      </c>
      <c r="O16" s="208">
        <f t="shared" si="8"/>
        <v>6.2</v>
      </c>
      <c r="P16" s="260"/>
      <c r="Q16" s="202"/>
      <c r="R16" s="228"/>
      <c r="S16" s="228"/>
      <c r="T16" s="244">
        <f t="shared" si="9"/>
        <v>8.99</v>
      </c>
      <c r="U16" s="245">
        <f t="shared" si="10"/>
        <v>9.15</v>
      </c>
      <c r="V16" s="246">
        <f t="shared" si="11"/>
        <v>9.1</v>
      </c>
      <c r="W16" s="247">
        <f t="shared" si="12"/>
        <v>939</v>
      </c>
      <c r="X16" s="248">
        <f t="shared" si="13"/>
        <v>578.20000000000005</v>
      </c>
      <c r="Y16" s="249">
        <f t="shared" si="14"/>
        <v>509.9</v>
      </c>
      <c r="Z16" s="236"/>
      <c r="AA16" s="250">
        <f t="shared" si="15"/>
        <v>6.1538461538461542</v>
      </c>
      <c r="AB16" s="243">
        <f t="shared" si="16"/>
        <v>9.2307692307692299</v>
      </c>
      <c r="AC16" s="251">
        <f t="shared" si="17"/>
        <v>17.5</v>
      </c>
    </row>
    <row r="17" spans="1:29" ht="14.25">
      <c r="A17" s="148"/>
      <c r="B17" s="165"/>
      <c r="C17" s="166">
        <v>131</v>
      </c>
      <c r="D17" s="167" t="str">
        <f t="shared" si="0"/>
        <v>ふるたか</v>
      </c>
      <c r="E17" s="265">
        <f t="shared" si="1"/>
        <v>8.31</v>
      </c>
      <c r="F17" s="168" t="s">
        <v>414</v>
      </c>
      <c r="G17" s="169"/>
      <c r="H17" s="209" t="str">
        <f t="shared" si="2"/>
        <v/>
      </c>
      <c r="I17" s="210">
        <f t="shared" si="3"/>
        <v>598.20000000000005</v>
      </c>
      <c r="J17" s="211"/>
      <c r="K17" s="212" t="str">
        <f t="shared" si="4"/>
        <v/>
      </c>
      <c r="L17" s="213" t="str">
        <f>IFERROR((K17-$K$7)/86400,"")</f>
        <v/>
      </c>
      <c r="M17" s="214" t="str">
        <f>IFERROR((K17-$K$7)/$N$3,"")</f>
        <v/>
      </c>
      <c r="N17" s="215" t="str">
        <f>IFERROR($N$3/(H17/3600),"")</f>
        <v/>
      </c>
      <c r="O17" s="174">
        <v>1</v>
      </c>
      <c r="P17" s="264"/>
      <c r="Q17" s="175"/>
      <c r="R17" s="228"/>
      <c r="S17" s="228"/>
      <c r="T17" s="244">
        <f t="shared" si="9"/>
        <v>8.2899999999999991</v>
      </c>
      <c r="U17" s="245">
        <f t="shared" si="10"/>
        <v>8.31</v>
      </c>
      <c r="V17" s="246">
        <f t="shared" si="11"/>
        <v>8.0500000000000007</v>
      </c>
      <c r="W17" s="247">
        <f t="shared" si="12"/>
        <v>965.1</v>
      </c>
      <c r="X17" s="248">
        <f t="shared" si="13"/>
        <v>598.20000000000005</v>
      </c>
      <c r="Y17" s="249">
        <f t="shared" si="14"/>
        <v>536.29999999999995</v>
      </c>
      <c r="Z17" s="236"/>
      <c r="AA17" s="250" t="str">
        <f t="shared" si="15"/>
        <v/>
      </c>
      <c r="AB17" s="243" t="str">
        <f t="shared" si="16"/>
        <v/>
      </c>
      <c r="AC17" s="251" t="str">
        <f t="shared" si="17"/>
        <v/>
      </c>
    </row>
    <row r="18" spans="1:29" ht="14.25">
      <c r="A18" s="148"/>
      <c r="B18" s="176"/>
      <c r="C18" s="177">
        <v>162</v>
      </c>
      <c r="D18" s="178" t="str">
        <f t="shared" si="0"/>
        <v>ﾌｪﾆｯｸｽ</v>
      </c>
      <c r="E18" s="266">
        <f t="shared" si="1"/>
        <v>6.84</v>
      </c>
      <c r="F18" s="179" t="s">
        <v>414</v>
      </c>
      <c r="G18" s="180"/>
      <c r="H18" s="177" t="str">
        <f t="shared" si="2"/>
        <v/>
      </c>
      <c r="I18" s="181">
        <f t="shared" si="3"/>
        <v>640.4</v>
      </c>
      <c r="J18" s="259"/>
      <c r="K18" s="182" t="str">
        <f t="shared" si="4"/>
        <v/>
      </c>
      <c r="L18" s="180" t="str">
        <f>IFERROR((K18-$K$7)/86400,"")</f>
        <v/>
      </c>
      <c r="M18" s="183" t="str">
        <f>IFERROR((K18-$K$7)/$N$3,"")</f>
        <v/>
      </c>
      <c r="N18" s="184" t="str">
        <f>IFERROR($N$3/(H18/3600),"")</f>
        <v/>
      </c>
      <c r="O18" s="185">
        <v>1</v>
      </c>
      <c r="P18" s="219"/>
      <c r="Q18" s="187"/>
      <c r="R18" s="228"/>
      <c r="S18" s="228"/>
      <c r="T18" s="244">
        <f t="shared" si="9"/>
        <v>6.96</v>
      </c>
      <c r="U18" s="245">
        <f t="shared" si="10"/>
        <v>6.84</v>
      </c>
      <c r="V18" s="246">
        <f t="shared" si="11"/>
        <v>6.95</v>
      </c>
      <c r="W18" s="247">
        <f t="shared" si="12"/>
        <v>1024.3</v>
      </c>
      <c r="X18" s="248">
        <f t="shared" si="13"/>
        <v>640.4</v>
      </c>
      <c r="Y18" s="249">
        <f t="shared" si="14"/>
        <v>569.4</v>
      </c>
      <c r="Z18" s="236"/>
      <c r="AA18" s="250" t="str">
        <f t="shared" si="15"/>
        <v/>
      </c>
      <c r="AB18" s="243" t="str">
        <f t="shared" si="16"/>
        <v/>
      </c>
      <c r="AC18" s="251" t="str">
        <f t="shared" si="17"/>
        <v/>
      </c>
    </row>
    <row r="19" spans="1:29" ht="14.25">
      <c r="A19" s="148"/>
      <c r="B19" s="176"/>
      <c r="C19" s="177">
        <v>6934</v>
      </c>
      <c r="D19" s="178" t="str">
        <f t="shared" si="0"/>
        <v>香</v>
      </c>
      <c r="E19" s="266">
        <f t="shared" si="1"/>
        <v>6.75</v>
      </c>
      <c r="F19" s="179" t="s">
        <v>418</v>
      </c>
      <c r="G19" s="180"/>
      <c r="H19" s="177" t="str">
        <f t="shared" si="2"/>
        <v/>
      </c>
      <c r="I19" s="181">
        <f t="shared" si="3"/>
        <v>643.20000000000005</v>
      </c>
      <c r="J19" s="259"/>
      <c r="K19" s="182" t="str">
        <f t="shared" si="4"/>
        <v/>
      </c>
      <c r="L19" s="180" t="str">
        <f>IFERROR((K19-$K$7)/86400,"")</f>
        <v/>
      </c>
      <c r="M19" s="183" t="str">
        <f>IFERROR((K19-$K$7)/$N$3,"")</f>
        <v/>
      </c>
      <c r="N19" s="184" t="str">
        <f>IFERROR($N$3/(H19/3600),"")</f>
        <v/>
      </c>
      <c r="O19" s="185">
        <v>1</v>
      </c>
      <c r="P19" s="219"/>
      <c r="Q19" s="187"/>
      <c r="R19" s="228"/>
      <c r="S19" s="228"/>
      <c r="T19" s="244">
        <f t="shared" si="9"/>
        <v>7.33</v>
      </c>
      <c r="U19" s="245">
        <f t="shared" si="10"/>
        <v>6.75</v>
      </c>
      <c r="V19" s="246">
        <f t="shared" si="11"/>
        <v>7.08</v>
      </c>
      <c r="W19" s="247">
        <f t="shared" si="12"/>
        <v>1006.3</v>
      </c>
      <c r="X19" s="248">
        <f t="shared" si="13"/>
        <v>643.20000000000005</v>
      </c>
      <c r="Y19" s="249">
        <f t="shared" si="14"/>
        <v>565.4</v>
      </c>
      <c r="Z19" s="236"/>
      <c r="AA19" s="250" t="str">
        <f t="shared" si="15"/>
        <v/>
      </c>
      <c r="AB19" s="243" t="str">
        <f t="shared" si="16"/>
        <v/>
      </c>
      <c r="AC19" s="251" t="str">
        <f t="shared" si="17"/>
        <v/>
      </c>
    </row>
    <row r="20" spans="1:29" ht="14.25">
      <c r="A20" s="148"/>
      <c r="B20" s="176"/>
      <c r="C20" s="177"/>
      <c r="D20" s="178" t="str">
        <f t="shared" si="0"/>
        <v/>
      </c>
      <c r="E20" s="266" t="str">
        <f t="shared" si="1"/>
        <v/>
      </c>
      <c r="F20" s="179"/>
      <c r="G20" s="180"/>
      <c r="H20" s="177" t="str">
        <f t="shared" si="2"/>
        <v/>
      </c>
      <c r="I20" s="181" t="str">
        <f t="shared" si="3"/>
        <v/>
      </c>
      <c r="J20" s="259"/>
      <c r="K20" s="182" t="str">
        <f t="shared" si="4"/>
        <v/>
      </c>
      <c r="L20" s="180" t="str">
        <f>IFERROR((K20-$K$7)/86400,"")</f>
        <v/>
      </c>
      <c r="M20" s="183" t="str">
        <f>IFERROR((K20-$K$7)/$N$3,"")</f>
        <v/>
      </c>
      <c r="N20" s="184" t="str">
        <f>IFERROR($N$3/(H20/3600),"")</f>
        <v/>
      </c>
      <c r="O20" s="185"/>
      <c r="P20" s="264"/>
      <c r="Q20" s="187"/>
      <c r="R20" s="228"/>
      <c r="S20" s="228"/>
      <c r="T20" s="244" t="str">
        <f t="shared" si="9"/>
        <v/>
      </c>
      <c r="U20" s="245" t="str">
        <f t="shared" si="10"/>
        <v/>
      </c>
      <c r="V20" s="246" t="str">
        <f t="shared" si="11"/>
        <v/>
      </c>
      <c r="W20" s="247" t="str">
        <f t="shared" si="12"/>
        <v/>
      </c>
      <c r="X20" s="248" t="str">
        <f t="shared" si="13"/>
        <v/>
      </c>
      <c r="Y20" s="249" t="str">
        <f t="shared" si="14"/>
        <v/>
      </c>
      <c r="Z20" s="236"/>
      <c r="AA20" s="250" t="str">
        <f t="shared" si="15"/>
        <v/>
      </c>
      <c r="AB20" s="243" t="str">
        <f t="shared" si="16"/>
        <v/>
      </c>
      <c r="AC20" s="251" t="str">
        <f t="shared" si="17"/>
        <v/>
      </c>
    </row>
    <row r="21" spans="1:29" ht="14.25">
      <c r="A21" s="148"/>
      <c r="B21" s="188"/>
      <c r="C21" s="189">
        <v>4469</v>
      </c>
      <c r="D21" s="190" t="str">
        <f t="shared" si="0"/>
        <v>未央</v>
      </c>
      <c r="E21" s="267"/>
      <c r="F21" s="191"/>
      <c r="G21" s="192"/>
      <c r="H21" s="189"/>
      <c r="I21" s="203"/>
      <c r="J21" s="204"/>
      <c r="K21" s="205"/>
      <c r="L21" s="192"/>
      <c r="M21" s="206"/>
      <c r="N21" s="207" t="str">
        <f>IFERROR($N$3/(H21/3600),"")</f>
        <v/>
      </c>
      <c r="O21" s="208">
        <v>1</v>
      </c>
      <c r="P21" s="260" t="s">
        <v>419</v>
      </c>
      <c r="Q21" s="202"/>
      <c r="R21" s="228"/>
      <c r="S21" s="228"/>
      <c r="T21" s="244">
        <f t="shared" si="9"/>
        <v>6.54</v>
      </c>
      <c r="U21" s="245">
        <f t="shared" si="10"/>
        <v>6.6</v>
      </c>
      <c r="V21" s="246">
        <f t="shared" si="11"/>
        <v>6.69</v>
      </c>
      <c r="W21" s="247">
        <f t="shared" si="12"/>
        <v>1046.0999999999999</v>
      </c>
      <c r="X21" s="248">
        <f t="shared" si="13"/>
        <v>648.5</v>
      </c>
      <c r="Y21" s="249">
        <f t="shared" si="14"/>
        <v>578.4</v>
      </c>
      <c r="Z21" s="236"/>
      <c r="AA21" s="250" t="str">
        <f t="shared" si="15"/>
        <v/>
      </c>
      <c r="AB21" s="243" t="str">
        <f t="shared" si="16"/>
        <v/>
      </c>
      <c r="AC21" s="251" t="str">
        <f t="shared" si="17"/>
        <v/>
      </c>
    </row>
    <row r="22" spans="1:29" ht="14.25">
      <c r="A22" s="148"/>
      <c r="B22" s="217"/>
      <c r="C22" s="268"/>
      <c r="D22" s="222"/>
      <c r="E22" s="211"/>
      <c r="F22" s="211"/>
      <c r="G22" s="213"/>
      <c r="H22" s="209"/>
      <c r="I22" s="210"/>
      <c r="J22" s="211"/>
      <c r="K22" s="212"/>
      <c r="L22" s="213"/>
      <c r="M22" s="214"/>
      <c r="N22" s="215"/>
      <c r="O22" s="216"/>
      <c r="P22" s="269"/>
      <c r="Q22" s="218"/>
      <c r="R22" s="228"/>
      <c r="S22" s="228"/>
      <c r="T22" s="244" t="str">
        <f t="shared" si="9"/>
        <v/>
      </c>
      <c r="U22" s="245" t="str">
        <f t="shared" si="10"/>
        <v/>
      </c>
      <c r="V22" s="246" t="str">
        <f t="shared" si="11"/>
        <v/>
      </c>
      <c r="W22" s="247" t="str">
        <f t="shared" si="12"/>
        <v/>
      </c>
      <c r="X22" s="248" t="str">
        <f t="shared" si="13"/>
        <v/>
      </c>
      <c r="Y22" s="249" t="str">
        <f t="shared" si="14"/>
        <v/>
      </c>
      <c r="Z22" s="236"/>
      <c r="AA22" s="250" t="str">
        <f t="shared" si="15"/>
        <v/>
      </c>
      <c r="AB22" s="243" t="str">
        <f t="shared" si="16"/>
        <v/>
      </c>
      <c r="AC22" s="251" t="str">
        <f t="shared" si="17"/>
        <v/>
      </c>
    </row>
    <row r="23" spans="1:29" ht="14.25">
      <c r="A23" s="148"/>
      <c r="B23" s="176"/>
      <c r="C23" s="177"/>
      <c r="D23" s="178" t="str">
        <f>IF(ISBLANK(C23),"",VLOOKUP(C23,各艇データ,2,FALSE))</f>
        <v/>
      </c>
      <c r="E23" s="179"/>
      <c r="F23" s="179"/>
      <c r="G23" s="180"/>
      <c r="H23" s="177"/>
      <c r="I23" s="181"/>
      <c r="J23" s="179"/>
      <c r="K23" s="182"/>
      <c r="L23" s="180"/>
      <c r="M23" s="183"/>
      <c r="N23" s="184"/>
      <c r="O23" s="185"/>
      <c r="P23" s="219"/>
      <c r="Q23" s="187"/>
      <c r="R23" s="228"/>
      <c r="S23" s="228"/>
      <c r="T23" s="244" t="str">
        <f t="shared" si="9"/>
        <v/>
      </c>
      <c r="U23" s="245" t="str">
        <f t="shared" si="10"/>
        <v/>
      </c>
      <c r="V23" s="246" t="str">
        <f t="shared" si="11"/>
        <v/>
      </c>
      <c r="W23" s="247" t="str">
        <f t="shared" si="12"/>
        <v/>
      </c>
      <c r="X23" s="248" t="str">
        <f t="shared" si="13"/>
        <v/>
      </c>
      <c r="Y23" s="249" t="str">
        <f t="shared" si="14"/>
        <v/>
      </c>
      <c r="Z23" s="236"/>
      <c r="AA23" s="250" t="str">
        <f t="shared" si="15"/>
        <v/>
      </c>
      <c r="AB23" s="243" t="str">
        <f t="shared" si="16"/>
        <v/>
      </c>
      <c r="AC23" s="251" t="str">
        <f t="shared" si="17"/>
        <v/>
      </c>
    </row>
    <row r="24" spans="1:29" ht="14.25">
      <c r="A24" s="148"/>
      <c r="B24" s="217"/>
      <c r="C24" s="177"/>
      <c r="D24" s="222"/>
      <c r="E24" s="179"/>
      <c r="F24" s="179"/>
      <c r="G24" s="180"/>
      <c r="H24" s="177"/>
      <c r="I24" s="181"/>
      <c r="J24" s="179"/>
      <c r="K24" s="182"/>
      <c r="L24" s="180"/>
      <c r="M24" s="183"/>
      <c r="N24" s="184"/>
      <c r="O24" s="185"/>
      <c r="P24" s="220"/>
      <c r="Q24" s="187"/>
      <c r="R24" s="228"/>
      <c r="S24" s="228"/>
      <c r="T24" s="244" t="str">
        <f t="shared" si="9"/>
        <v/>
      </c>
      <c r="U24" s="245" t="str">
        <f t="shared" si="10"/>
        <v/>
      </c>
      <c r="V24" s="246" t="str">
        <f t="shared" si="11"/>
        <v/>
      </c>
      <c r="W24" s="247" t="str">
        <f t="shared" si="12"/>
        <v/>
      </c>
      <c r="X24" s="248" t="str">
        <f t="shared" si="13"/>
        <v/>
      </c>
      <c r="Y24" s="249" t="str">
        <f t="shared" si="14"/>
        <v/>
      </c>
      <c r="Z24" s="236"/>
      <c r="AA24" s="250" t="str">
        <f t="shared" si="15"/>
        <v/>
      </c>
      <c r="AB24" s="243" t="str">
        <f t="shared" si="16"/>
        <v/>
      </c>
      <c r="AC24" s="251" t="str">
        <f t="shared" si="17"/>
        <v/>
      </c>
    </row>
    <row r="25" spans="1:29" ht="14.25">
      <c r="A25" s="148"/>
      <c r="B25" s="176"/>
      <c r="C25" s="177"/>
      <c r="D25" s="178" t="str">
        <f t="shared" ref="D25:D31" si="18">IF(ISBLANK(C25),"",VLOOKUP(C25,各艇データ,2,FALSE))</f>
        <v/>
      </c>
      <c r="E25" s="179"/>
      <c r="F25" s="179"/>
      <c r="G25" s="180"/>
      <c r="H25" s="177"/>
      <c r="I25" s="181"/>
      <c r="J25" s="179"/>
      <c r="K25" s="182"/>
      <c r="L25" s="180"/>
      <c r="M25" s="183"/>
      <c r="N25" s="184"/>
      <c r="O25" s="185"/>
      <c r="P25" s="220"/>
      <c r="Q25" s="187"/>
      <c r="R25" s="228"/>
      <c r="S25" s="228"/>
      <c r="T25" s="244" t="str">
        <f t="shared" si="9"/>
        <v/>
      </c>
      <c r="U25" s="245" t="str">
        <f t="shared" si="10"/>
        <v/>
      </c>
      <c r="V25" s="246" t="str">
        <f t="shared" si="11"/>
        <v/>
      </c>
      <c r="W25" s="247" t="str">
        <f t="shared" si="12"/>
        <v/>
      </c>
      <c r="X25" s="248" t="str">
        <f t="shared" si="13"/>
        <v/>
      </c>
      <c r="Y25" s="249" t="str">
        <f t="shared" si="14"/>
        <v/>
      </c>
      <c r="Z25" s="236"/>
      <c r="AA25" s="250" t="str">
        <f t="shared" si="15"/>
        <v/>
      </c>
      <c r="AB25" s="243" t="str">
        <f t="shared" si="16"/>
        <v/>
      </c>
      <c r="AC25" s="251" t="str">
        <f t="shared" si="17"/>
        <v/>
      </c>
    </row>
    <row r="26" spans="1:29" ht="14.25">
      <c r="A26" s="148"/>
      <c r="B26" s="188"/>
      <c r="C26" s="189"/>
      <c r="D26" s="190" t="str">
        <f t="shared" si="18"/>
        <v/>
      </c>
      <c r="E26" s="191"/>
      <c r="F26" s="191"/>
      <c r="G26" s="192"/>
      <c r="H26" s="189" t="str">
        <f>IFERROR(IF(G26-$Q$2&lt;=0,"",(G26-$Q$2)*86400),"")</f>
        <v/>
      </c>
      <c r="I26" s="203" t="str">
        <f>IF($I$6="Ⅰ",W26,IF($I$6="Ⅱ",X26,IF($I$6="Ⅲ",Y26,"")))</f>
        <v/>
      </c>
      <c r="J26" s="191"/>
      <c r="K26" s="205" t="str">
        <f>IFERROR(H26*(1+0.01*J26)-I26*$N$3,"")</f>
        <v/>
      </c>
      <c r="L26" s="192" t="str">
        <f>IFERROR((K26-$K$7)/86400,"")</f>
        <v/>
      </c>
      <c r="M26" s="206" t="str">
        <f>IFERROR((K26-$K$7)/$N$3,"")</f>
        <v/>
      </c>
      <c r="N26" s="207" t="str">
        <f>IFERROR($N$3/(H26/3600),"")</f>
        <v/>
      </c>
      <c r="O26" s="208" t="str">
        <f>IF($O$6="MAX=20",AA26,IF($O$6="MAX=30",AB26,IF($O$6="MAX=40",AC26,"")))</f>
        <v/>
      </c>
      <c r="P26" s="221"/>
      <c r="Q26" s="202"/>
      <c r="R26" s="228"/>
      <c r="S26" s="228"/>
      <c r="T26" s="244" t="str">
        <f t="shared" si="9"/>
        <v/>
      </c>
      <c r="U26" s="245" t="str">
        <f t="shared" si="10"/>
        <v/>
      </c>
      <c r="V26" s="246" t="str">
        <f t="shared" si="11"/>
        <v/>
      </c>
      <c r="W26" s="247" t="str">
        <f t="shared" si="12"/>
        <v/>
      </c>
      <c r="X26" s="248" t="str">
        <f t="shared" si="13"/>
        <v/>
      </c>
      <c r="Y26" s="249" t="str">
        <f t="shared" si="14"/>
        <v/>
      </c>
      <c r="Z26" s="236"/>
      <c r="AA26" s="250" t="str">
        <f t="shared" si="15"/>
        <v/>
      </c>
      <c r="AB26" s="243" t="str">
        <f t="shared" si="16"/>
        <v/>
      </c>
      <c r="AC26" s="251" t="str">
        <f t="shared" si="17"/>
        <v/>
      </c>
    </row>
    <row r="27" spans="1:29"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228"/>
      <c r="S27" s="228"/>
      <c r="T27" s="244" t="str">
        <f t="shared" si="9"/>
        <v/>
      </c>
      <c r="U27" s="245" t="str">
        <f t="shared" si="10"/>
        <v/>
      </c>
      <c r="V27" s="246" t="str">
        <f t="shared" si="11"/>
        <v/>
      </c>
      <c r="W27" s="247" t="str">
        <f t="shared" si="12"/>
        <v/>
      </c>
      <c r="X27" s="248" t="str">
        <f t="shared" si="13"/>
        <v/>
      </c>
      <c r="Y27" s="249" t="str">
        <f t="shared" si="14"/>
        <v/>
      </c>
      <c r="Z27" s="236"/>
      <c r="AA27" s="250" t="str">
        <f t="shared" si="15"/>
        <v/>
      </c>
      <c r="AB27" s="243" t="str">
        <f t="shared" si="16"/>
        <v/>
      </c>
      <c r="AC27" s="251" t="str">
        <f t="shared" si="17"/>
        <v/>
      </c>
    </row>
    <row r="28" spans="1:29" ht="14.25" customHeight="1">
      <c r="A28" s="148"/>
      <c r="B28" s="176"/>
      <c r="C28" s="177"/>
      <c r="D28" s="178" t="str">
        <f t="shared" si="18"/>
        <v/>
      </c>
      <c r="E28" s="179"/>
      <c r="F28" s="179"/>
      <c r="G28" s="180"/>
      <c r="H28" s="177"/>
      <c r="I28" s="181"/>
      <c r="J28" s="179"/>
      <c r="K28" s="182"/>
      <c r="L28" s="180"/>
      <c r="M28" s="183"/>
      <c r="N28" s="184"/>
      <c r="O28" s="185"/>
      <c r="P28" s="224"/>
      <c r="Q28" s="187"/>
      <c r="R28" s="228"/>
      <c r="S28" s="228"/>
      <c r="T28" s="244" t="str">
        <f t="shared" si="9"/>
        <v/>
      </c>
      <c r="U28" s="245" t="str">
        <f t="shared" si="10"/>
        <v/>
      </c>
      <c r="V28" s="246" t="str">
        <f t="shared" si="11"/>
        <v/>
      </c>
      <c r="W28" s="247" t="str">
        <f t="shared" si="12"/>
        <v/>
      </c>
      <c r="X28" s="248" t="str">
        <f t="shared" si="13"/>
        <v/>
      </c>
      <c r="Y28" s="249" t="str">
        <f t="shared" si="14"/>
        <v/>
      </c>
      <c r="Z28" s="236"/>
      <c r="AA28" s="250" t="str">
        <f t="shared" si="15"/>
        <v/>
      </c>
      <c r="AB28" s="243" t="str">
        <f t="shared" si="16"/>
        <v/>
      </c>
      <c r="AC28" s="251" t="str">
        <f t="shared" si="17"/>
        <v/>
      </c>
    </row>
    <row r="29" spans="1:29" ht="14.25">
      <c r="A29" s="148"/>
      <c r="B29" s="176"/>
      <c r="C29" s="177"/>
      <c r="D29" s="178" t="str">
        <f t="shared" si="18"/>
        <v/>
      </c>
      <c r="E29" s="179"/>
      <c r="F29" s="179"/>
      <c r="G29" s="180"/>
      <c r="H29" s="177"/>
      <c r="I29" s="181"/>
      <c r="J29" s="179"/>
      <c r="K29" s="182"/>
      <c r="L29" s="180"/>
      <c r="M29" s="183"/>
      <c r="N29" s="184"/>
      <c r="O29" s="185"/>
      <c r="P29" s="220"/>
      <c r="Q29" s="187"/>
      <c r="R29" s="228"/>
      <c r="S29" s="228"/>
      <c r="T29" s="244" t="str">
        <f t="shared" si="9"/>
        <v/>
      </c>
      <c r="U29" s="245" t="str">
        <f t="shared" si="10"/>
        <v/>
      </c>
      <c r="V29" s="246" t="str">
        <f t="shared" si="11"/>
        <v/>
      </c>
      <c r="W29" s="247" t="str">
        <f t="shared" si="12"/>
        <v/>
      </c>
      <c r="X29" s="248" t="str">
        <f t="shared" si="13"/>
        <v/>
      </c>
      <c r="Y29" s="249" t="str">
        <f t="shared" si="14"/>
        <v/>
      </c>
      <c r="Z29" s="236"/>
      <c r="AA29" s="250" t="str">
        <f t="shared" si="15"/>
        <v/>
      </c>
      <c r="AB29" s="243" t="str">
        <f t="shared" si="16"/>
        <v/>
      </c>
      <c r="AC29" s="251" t="str">
        <f t="shared" si="17"/>
        <v/>
      </c>
    </row>
    <row r="30" spans="1:29" ht="14.25" customHeight="1">
      <c r="A30" s="148"/>
      <c r="B30" s="176"/>
      <c r="C30" s="177"/>
      <c r="D30" s="178" t="str">
        <f t="shared" si="18"/>
        <v/>
      </c>
      <c r="E30" s="179"/>
      <c r="F30" s="179"/>
      <c r="G30" s="180"/>
      <c r="H30" s="177"/>
      <c r="I30" s="181"/>
      <c r="J30" s="179"/>
      <c r="K30" s="182"/>
      <c r="L30" s="180"/>
      <c r="M30" s="183"/>
      <c r="N30" s="184"/>
      <c r="O30" s="185"/>
      <c r="P30" s="220"/>
      <c r="Q30" s="187"/>
      <c r="R30" s="228"/>
      <c r="S30" s="228"/>
      <c r="T30" s="244" t="str">
        <f t="shared" si="9"/>
        <v/>
      </c>
      <c r="U30" s="245" t="str">
        <f t="shared" si="10"/>
        <v/>
      </c>
      <c r="V30" s="246" t="str">
        <f t="shared" si="11"/>
        <v/>
      </c>
      <c r="W30" s="247" t="str">
        <f t="shared" si="12"/>
        <v/>
      </c>
      <c r="X30" s="248" t="str">
        <f t="shared" si="13"/>
        <v/>
      </c>
      <c r="Y30" s="249" t="str">
        <f t="shared" si="14"/>
        <v/>
      </c>
      <c r="Z30" s="236"/>
      <c r="AA30" s="250" t="str">
        <f t="shared" si="15"/>
        <v/>
      </c>
      <c r="AB30" s="243" t="str">
        <f t="shared" si="16"/>
        <v/>
      </c>
      <c r="AC30" s="251" t="str">
        <f t="shared" si="17"/>
        <v/>
      </c>
    </row>
    <row r="31" spans="1:29" ht="15" thickBot="1">
      <c r="A31" s="148"/>
      <c r="B31" s="176"/>
      <c r="C31" s="177"/>
      <c r="D31" s="190" t="str">
        <f t="shared" si="18"/>
        <v/>
      </c>
      <c r="E31" s="191"/>
      <c r="F31" s="179"/>
      <c r="G31" s="180"/>
      <c r="H31" s="189" t="str">
        <f>IFERROR(IF(G31-$Q$2&lt;=0,"",(G31-$Q$2)*86400),"")</f>
        <v/>
      </c>
      <c r="I31" s="203" t="str">
        <f>IF($I$6="Ⅰ",W31,IF($I$6="Ⅱ",X31,IF($I$6="Ⅲ",Y31,"")))</f>
        <v/>
      </c>
      <c r="J31" s="191"/>
      <c r="K31" s="205" t="str">
        <f>IFERROR(H31*(1+0.01*J31)-I31*$N$3,"")</f>
        <v/>
      </c>
      <c r="L31" s="192" t="str">
        <f>IFERROR((K31-$K$7)/86400,"")</f>
        <v/>
      </c>
      <c r="M31" s="206" t="str">
        <f>IFERROR((K31-$K$7)/$N$3,"")</f>
        <v/>
      </c>
      <c r="N31" s="207" t="str">
        <f>IFERROR($N$3/(H31/3600),"")</f>
        <v/>
      </c>
      <c r="O31" s="208" t="str">
        <f>IF($O$6="MAX=20",AA31,IF($O$6="MAX=30",AB31,IF($O$6="MAX=40",AC31,"")))</f>
        <v/>
      </c>
      <c r="P31" s="221"/>
      <c r="Q31" s="202"/>
      <c r="R31" s="228"/>
      <c r="S31" s="228"/>
      <c r="T31" s="252" t="str">
        <f t="shared" si="9"/>
        <v/>
      </c>
      <c r="U31" s="253" t="str">
        <f t="shared" si="10"/>
        <v/>
      </c>
      <c r="V31" s="254" t="str">
        <f t="shared" si="11"/>
        <v/>
      </c>
      <c r="W31" s="255" t="str">
        <f t="shared" si="12"/>
        <v/>
      </c>
      <c r="X31" s="256" t="str">
        <f t="shared" si="13"/>
        <v/>
      </c>
      <c r="Y31" s="257" t="str">
        <f t="shared" si="14"/>
        <v/>
      </c>
      <c r="Z31" s="236"/>
      <c r="AA31" s="261" t="str">
        <f t="shared" si="15"/>
        <v/>
      </c>
      <c r="AB31" s="262" t="str">
        <f t="shared" si="16"/>
        <v/>
      </c>
      <c r="AC31" s="263" t="str">
        <f t="shared" si="17"/>
        <v/>
      </c>
    </row>
    <row r="32" spans="1:29" ht="15" customHeight="1">
      <c r="A32" s="148"/>
      <c r="B32" s="442" t="s">
        <v>264</v>
      </c>
      <c r="C32" s="443"/>
      <c r="D32" s="444"/>
      <c r="E32" s="225" t="s">
        <v>184</v>
      </c>
      <c r="F32" s="451" t="s">
        <v>415</v>
      </c>
      <c r="G32" s="452"/>
      <c r="H32" s="453" t="s">
        <v>425</v>
      </c>
      <c r="I32" s="454"/>
      <c r="J32" s="454"/>
      <c r="K32" s="454"/>
      <c r="L32" s="454"/>
      <c r="M32" s="454"/>
      <c r="N32" s="454"/>
      <c r="O32" s="454"/>
      <c r="P32" s="454"/>
      <c r="Q32" s="455"/>
      <c r="R32" s="139"/>
      <c r="S32" s="139"/>
      <c r="T32" s="231"/>
      <c r="U32" s="231"/>
      <c r="V32" s="231"/>
      <c r="Y32" s="231"/>
      <c r="Z32" s="231"/>
    </row>
    <row r="33" spans="1:26" ht="15" customHeight="1">
      <c r="A33" s="148"/>
      <c r="B33" s="445"/>
      <c r="C33" s="446"/>
      <c r="D33" s="447"/>
      <c r="E33" s="226" t="s">
        <v>185</v>
      </c>
      <c r="F33" s="462" t="s">
        <v>416</v>
      </c>
      <c r="G33" s="463"/>
      <c r="H33" s="456"/>
      <c r="I33" s="457"/>
      <c r="J33" s="457"/>
      <c r="K33" s="457"/>
      <c r="L33" s="457"/>
      <c r="M33" s="457"/>
      <c r="N33" s="457"/>
      <c r="O33" s="457"/>
      <c r="P33" s="457"/>
      <c r="Q33" s="458"/>
      <c r="R33" s="139"/>
      <c r="S33" s="139"/>
      <c r="T33" s="231"/>
      <c r="U33" s="231"/>
      <c r="V33" s="231"/>
      <c r="Y33" s="231"/>
      <c r="Z33" s="231"/>
    </row>
    <row r="34" spans="1:26" ht="23.25" customHeight="1">
      <c r="A34" s="148"/>
      <c r="B34" s="448"/>
      <c r="C34" s="449"/>
      <c r="D34" s="450"/>
      <c r="E34" s="226" t="s">
        <v>186</v>
      </c>
      <c r="F34" s="462" t="s">
        <v>417</v>
      </c>
      <c r="G34" s="463"/>
      <c r="H34" s="456"/>
      <c r="I34" s="457"/>
      <c r="J34" s="457"/>
      <c r="K34" s="457"/>
      <c r="L34" s="457"/>
      <c r="M34" s="457"/>
      <c r="N34" s="457"/>
      <c r="O34" s="457"/>
      <c r="P34" s="457"/>
      <c r="Q34" s="458"/>
      <c r="R34" s="139"/>
      <c r="S34" s="139"/>
      <c r="T34" s="231"/>
      <c r="U34" s="231"/>
      <c r="V34" s="231"/>
      <c r="Y34" s="231"/>
      <c r="Z34" s="231"/>
    </row>
    <row r="35" spans="1:26" ht="22.5" customHeight="1">
      <c r="A35" s="148"/>
      <c r="B35" s="464" t="s">
        <v>265</v>
      </c>
      <c r="C35" s="465"/>
      <c r="D35" s="466"/>
      <c r="E35" s="436" t="s">
        <v>188</v>
      </c>
      <c r="F35" s="462" t="str">
        <f>参照ﾃﾞｰﾀ!AL15</f>
        <v>未央</v>
      </c>
      <c r="G35" s="463"/>
      <c r="H35" s="456"/>
      <c r="I35" s="457"/>
      <c r="J35" s="457"/>
      <c r="K35" s="457"/>
      <c r="L35" s="457"/>
      <c r="M35" s="457"/>
      <c r="N35" s="457"/>
      <c r="O35" s="457"/>
      <c r="P35" s="457"/>
      <c r="Q35" s="458"/>
      <c r="R35" s="139"/>
      <c r="S35" s="139"/>
      <c r="T35" s="231"/>
      <c r="U35" s="231"/>
      <c r="V35" s="231"/>
      <c r="Y35" s="231"/>
      <c r="Z35" s="231"/>
    </row>
    <row r="36" spans="1:26" ht="15" customHeight="1">
      <c r="A36" s="148"/>
      <c r="B36" s="467"/>
      <c r="C36" s="468"/>
      <c r="D36" s="469"/>
      <c r="E36" s="475"/>
      <c r="F36" s="462"/>
      <c r="G36" s="463"/>
      <c r="H36" s="456"/>
      <c r="I36" s="457"/>
      <c r="J36" s="457"/>
      <c r="K36" s="457"/>
      <c r="L36" s="457"/>
      <c r="M36" s="457"/>
      <c r="N36" s="457"/>
      <c r="O36" s="457"/>
      <c r="P36" s="457"/>
      <c r="Q36" s="458"/>
      <c r="R36" s="139"/>
      <c r="S36" s="139"/>
      <c r="T36" s="231"/>
      <c r="U36" s="231"/>
      <c r="V36" s="231"/>
      <c r="Y36" s="231"/>
      <c r="Z36" s="231"/>
    </row>
    <row r="37" spans="1:26" ht="15" customHeight="1">
      <c r="A37" s="148"/>
      <c r="B37" s="467"/>
      <c r="C37" s="468"/>
      <c r="D37" s="469"/>
      <c r="E37" s="225" t="s">
        <v>187</v>
      </c>
      <c r="F37" s="476">
        <v>43814</v>
      </c>
      <c r="G37" s="452"/>
      <c r="H37" s="456"/>
      <c r="I37" s="457"/>
      <c r="J37" s="457"/>
      <c r="K37" s="457"/>
      <c r="L37" s="457"/>
      <c r="M37" s="457"/>
      <c r="N37" s="457"/>
      <c r="O37" s="457"/>
      <c r="P37" s="457"/>
      <c r="Q37" s="458"/>
      <c r="R37" s="139"/>
      <c r="S37" s="139"/>
      <c r="T37" s="231"/>
      <c r="U37" s="231"/>
      <c r="V37" s="231"/>
      <c r="Y37" s="231"/>
      <c r="Z37" s="231"/>
    </row>
    <row r="38" spans="1:26" ht="15" customHeight="1">
      <c r="A38" s="148"/>
      <c r="B38" s="467"/>
      <c r="C38" s="468"/>
      <c r="D38" s="469"/>
      <c r="E38" s="226" t="s">
        <v>200</v>
      </c>
      <c r="F38" s="462" t="s">
        <v>74</v>
      </c>
      <c r="G38" s="463"/>
      <c r="H38" s="456"/>
      <c r="I38" s="457"/>
      <c r="J38" s="457"/>
      <c r="K38" s="457"/>
      <c r="L38" s="457"/>
      <c r="M38" s="457"/>
      <c r="N38" s="457"/>
      <c r="O38" s="457"/>
      <c r="P38" s="457"/>
      <c r="Q38" s="458"/>
      <c r="R38" s="139"/>
      <c r="S38" s="139"/>
      <c r="T38" s="231"/>
      <c r="U38" s="231"/>
      <c r="V38" s="231"/>
      <c r="Y38" s="231"/>
      <c r="Z38" s="231"/>
    </row>
    <row r="39" spans="1:26" ht="15" customHeight="1">
      <c r="A39" s="148"/>
      <c r="B39" s="467"/>
      <c r="C39" s="468"/>
      <c r="D39" s="469"/>
      <c r="E39" s="436" t="s">
        <v>188</v>
      </c>
      <c r="F39" s="462" t="str">
        <f>参照ﾃﾞｰﾀ!AL16</f>
        <v>くろしお</v>
      </c>
      <c r="G39" s="463"/>
      <c r="H39" s="456"/>
      <c r="I39" s="457"/>
      <c r="J39" s="457"/>
      <c r="K39" s="457"/>
      <c r="L39" s="457"/>
      <c r="M39" s="457"/>
      <c r="N39" s="457"/>
      <c r="O39" s="457"/>
      <c r="P39" s="457"/>
      <c r="Q39" s="458"/>
      <c r="R39" s="139"/>
      <c r="S39" s="139"/>
      <c r="T39" s="231"/>
      <c r="U39" s="231"/>
      <c r="V39" s="231"/>
      <c r="Y39" s="231"/>
      <c r="Z39" s="231"/>
    </row>
    <row r="40" spans="1:26" ht="15" customHeight="1">
      <c r="A40" s="148"/>
      <c r="B40" s="467"/>
      <c r="C40" s="468"/>
      <c r="D40" s="469"/>
      <c r="E40" s="436"/>
      <c r="F40" s="462"/>
      <c r="G40" s="463"/>
      <c r="H40" s="456"/>
      <c r="I40" s="457"/>
      <c r="J40" s="457"/>
      <c r="K40" s="457"/>
      <c r="L40" s="457"/>
      <c r="M40" s="457"/>
      <c r="N40" s="457"/>
      <c r="O40" s="457"/>
      <c r="P40" s="457"/>
      <c r="Q40" s="458"/>
      <c r="R40" s="139"/>
      <c r="S40" s="139"/>
      <c r="T40" s="231"/>
      <c r="U40" s="231"/>
      <c r="V40" s="231"/>
      <c r="Y40" s="231"/>
      <c r="Z40" s="231"/>
    </row>
    <row r="41" spans="1:26" ht="11.25" customHeight="1" thickBot="1">
      <c r="A41" s="148"/>
      <c r="B41" s="470"/>
      <c r="C41" s="471"/>
      <c r="D41" s="472"/>
      <c r="E41" s="227"/>
      <c r="F41" s="473"/>
      <c r="G41" s="474"/>
      <c r="H41" s="459"/>
      <c r="I41" s="460"/>
      <c r="J41" s="460"/>
      <c r="K41" s="460"/>
      <c r="L41" s="460"/>
      <c r="M41" s="460"/>
      <c r="N41" s="460"/>
      <c r="O41" s="460"/>
      <c r="P41" s="460"/>
      <c r="Q41" s="461"/>
      <c r="R41" s="139"/>
      <c r="S41" s="139"/>
      <c r="T41" s="231"/>
      <c r="U41" s="231"/>
      <c r="V41" s="231"/>
      <c r="W41" s="231"/>
      <c r="X41" s="231"/>
      <c r="Y41" s="231"/>
      <c r="Z41" s="231"/>
    </row>
    <row r="42" spans="1:26">
      <c r="A42" s="148"/>
      <c r="B42" s="148"/>
      <c r="C42" s="148"/>
      <c r="D42" s="148"/>
      <c r="E42" s="148"/>
      <c r="F42" s="148"/>
      <c r="G42" s="148"/>
      <c r="H42" s="148"/>
      <c r="I42" s="148"/>
      <c r="J42" s="148"/>
      <c r="K42" s="148"/>
      <c r="L42" s="148"/>
      <c r="M42" s="148"/>
      <c r="N42" s="148"/>
      <c r="O42" s="148"/>
      <c r="P42" s="148"/>
      <c r="Q42" s="148"/>
      <c r="R42" s="148"/>
      <c r="S42" s="148"/>
    </row>
  </sheetData>
  <sheetProtection algorithmName="SHA-512" hashValue="JRHB9gwYVKqYcWLQ6lzoWSMb4zkRt/oC4XMXErFz4+tEwirlvx4CdAR+oZa7QxJwHDq2RarJCfnjaDp78y9haA==" saltValue="CWhy8ScF8sQQmgaOuKcZaA==" spinCount="100000" sheet="1" objects="1" scenarios="1"/>
  <sortState ref="C7:K16">
    <sortCondition ref="K7:K16"/>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D3">
      <formula1>レース番号</formula1>
    </dataValidation>
    <dataValidation type="list" allowBlank="1" showInputMessage="1" showErrorMessage="1" sqref="I6">
      <formula1>ＴＡ</formula1>
    </dataValidation>
    <dataValidation type="list" showInputMessage="1" showErrorMessage="1" sqref="E3">
      <formula1>レース名</formula1>
    </dataValidation>
    <dataValidation type="list" allowBlank="1" showInputMessage="1" showErrorMessage="1" sqref="N2 F38:G38">
      <formula1>コース</formula1>
    </dataValidation>
    <dataValidation type="list" allowBlank="1" showInputMessage="1" showErrorMessage="1" sqref="G2">
      <formula1>月</formula1>
    </dataValidation>
    <dataValidation type="list" allowBlank="1" showInputMessage="1" showErrorMessage="1" sqref="J3:K3">
      <formula1>暫定</formula1>
    </dataValidation>
    <dataValidation type="list" allowBlank="1" showInputMessage="1" showErrorMessage="1" sqref="Q2">
      <formula1>時刻</formula1>
    </dataValidation>
    <dataValidation type="list" allowBlank="1" showInputMessage="1" showErrorMessage="1" sqref="P2 F37:G37">
      <formula1>開催日</formula1>
    </dataValidation>
  </dataValidations>
  <pageMargins left="0.31496062992125984" right="0" top="0.35433070866141736" bottom="0.19685039370078741" header="0" footer="0"/>
  <pageSetup paperSize="9" orientation="landscape" horizontalDpi="4294967293"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tabSelected="1" zoomScale="85" zoomScaleNormal="85" workbookViewId="0">
      <selection activeCell="K44" sqref="K44"/>
    </sheetView>
  </sheetViews>
  <sheetFormatPr defaultRowHeight="13.5"/>
  <cols>
    <col min="1" max="1" width="1.75" style="230" customWidth="1"/>
    <col min="2" max="2" width="5" style="230" customWidth="1"/>
    <col min="3" max="3" width="7" style="230" customWidth="1"/>
    <col min="4" max="4" width="18" style="230" customWidth="1"/>
    <col min="5" max="5" width="8" style="230" customWidth="1"/>
    <col min="6" max="6" width="5" style="230" customWidth="1"/>
    <col min="7" max="7" width="10.875" style="230" customWidth="1"/>
    <col min="8" max="8" width="8.375" style="230" customWidth="1"/>
    <col min="9" max="9" width="8.625" style="230" customWidth="1"/>
    <col min="10" max="10" width="5" style="230" customWidth="1"/>
    <col min="11" max="11" width="8.5" style="230" customWidth="1"/>
    <col min="12" max="12" width="10.625" style="230" bestFit="1" customWidth="1"/>
    <col min="13" max="13" width="9.5" style="230" customWidth="1"/>
    <col min="14" max="14" width="7.875" style="230" customWidth="1"/>
    <col min="15" max="15" width="8" style="230" customWidth="1"/>
    <col min="16" max="16" width="12" style="230" bestFit="1" customWidth="1"/>
    <col min="17" max="17" width="11.625" style="230" customWidth="1"/>
    <col min="18" max="18" width="4.875" style="230" customWidth="1"/>
    <col min="19" max="21" width="7.625" style="230" customWidth="1"/>
    <col min="22" max="22" width="8.25" style="230" customWidth="1"/>
    <col min="23" max="24" width="7.625" style="230" customWidth="1"/>
    <col min="25" max="25" width="4.5" style="230" customWidth="1"/>
    <col min="26" max="28" width="8" style="230" customWidth="1"/>
    <col min="29" max="16384" width="9" style="230"/>
  </cols>
  <sheetData>
    <row r="1" spans="1:28" ht="9.75" customHeight="1" thickBot="1">
      <c r="A1" s="148"/>
      <c r="B1" s="148"/>
      <c r="C1" s="148"/>
      <c r="D1" s="148"/>
      <c r="E1" s="148"/>
      <c r="F1" s="148"/>
      <c r="G1" s="148"/>
      <c r="H1" s="148"/>
      <c r="I1" s="148"/>
      <c r="J1" s="148"/>
      <c r="K1" s="148"/>
      <c r="L1" s="148"/>
      <c r="M1" s="148"/>
      <c r="N1" s="148"/>
      <c r="O1" s="148"/>
      <c r="P1" s="148"/>
      <c r="Q1" s="148"/>
      <c r="R1" s="148"/>
    </row>
    <row r="2" spans="1:28" ht="21">
      <c r="A2" s="148"/>
      <c r="B2" s="139"/>
      <c r="C2" s="140"/>
      <c r="D2" s="437" t="str">
        <f>参照ﾃﾞｰﾀ!P4</f>
        <v>2019年</v>
      </c>
      <c r="E2" s="437"/>
      <c r="F2" s="437"/>
      <c r="G2" s="141" t="s">
        <v>199</v>
      </c>
      <c r="H2" s="433"/>
      <c r="I2" s="143"/>
      <c r="J2" s="139"/>
      <c r="K2" s="144"/>
      <c r="L2" s="139"/>
      <c r="M2" s="145" t="s">
        <v>52</v>
      </c>
      <c r="N2" s="146" t="s">
        <v>426</v>
      </c>
      <c r="O2" s="147" t="s">
        <v>54</v>
      </c>
      <c r="P2" s="280">
        <v>43814</v>
      </c>
      <c r="Q2" s="281">
        <v>0.4375</v>
      </c>
      <c r="R2" s="139"/>
      <c r="S2" s="232" t="s">
        <v>2</v>
      </c>
      <c r="T2" s="231"/>
      <c r="U2" s="231"/>
      <c r="V2" s="231"/>
      <c r="W2" s="231"/>
      <c r="X2" s="231"/>
      <c r="Y2" s="231"/>
    </row>
    <row r="3" spans="1:28" ht="21.75" customHeight="1" thickBot="1">
      <c r="A3" s="148"/>
      <c r="B3" s="139"/>
      <c r="C3" s="148"/>
      <c r="D3" s="400" t="s">
        <v>273</v>
      </c>
      <c r="E3" s="438" t="s">
        <v>64</v>
      </c>
      <c r="F3" s="438"/>
      <c r="G3" s="438"/>
      <c r="H3" s="438"/>
      <c r="I3" s="438"/>
      <c r="J3" s="439" t="s">
        <v>86</v>
      </c>
      <c r="K3" s="439"/>
      <c r="L3" s="139"/>
      <c r="M3" s="150" t="s">
        <v>75</v>
      </c>
      <c r="N3" s="151">
        <v>8.6</v>
      </c>
      <c r="O3" s="152" t="s">
        <v>0</v>
      </c>
      <c r="P3" s="153">
        <v>17</v>
      </c>
      <c r="Q3" s="154" t="s">
        <v>1</v>
      </c>
      <c r="R3" s="139"/>
      <c r="S3" s="231" t="s">
        <v>234</v>
      </c>
      <c r="T3" s="231"/>
      <c r="U3" s="231"/>
      <c r="V3" s="232" t="s">
        <v>2</v>
      </c>
      <c r="W3" s="231"/>
      <c r="X3" s="231"/>
      <c r="Y3" s="231"/>
      <c r="Z3" s="233" t="s">
        <v>76</v>
      </c>
    </row>
    <row r="4" spans="1:28" ht="7.5" customHeight="1" thickBot="1">
      <c r="A4" s="148"/>
      <c r="B4" s="139"/>
      <c r="C4" s="139"/>
      <c r="D4" s="139"/>
      <c r="E4" s="139"/>
      <c r="F4" s="139"/>
      <c r="G4" s="139"/>
      <c r="H4" s="139"/>
      <c r="I4" s="139"/>
      <c r="J4" s="139"/>
      <c r="K4" s="139"/>
      <c r="L4" s="139"/>
      <c r="M4" s="139"/>
      <c r="N4" s="139"/>
      <c r="O4" s="139"/>
      <c r="P4" s="139"/>
      <c r="Q4" s="139"/>
      <c r="R4" s="139"/>
      <c r="S4" s="231"/>
      <c r="T4" s="231"/>
      <c r="U4" s="231"/>
      <c r="V4" s="234"/>
      <c r="W4" s="231"/>
      <c r="X4" s="231"/>
      <c r="Y4" s="231"/>
    </row>
    <row r="5" spans="1:28" ht="14.25">
      <c r="A5" s="148"/>
      <c r="B5" s="155" t="s">
        <v>3</v>
      </c>
      <c r="C5" s="156" t="s">
        <v>4</v>
      </c>
      <c r="D5" s="156" t="s">
        <v>5</v>
      </c>
      <c r="E5" s="156" t="s">
        <v>6</v>
      </c>
      <c r="F5" s="156" t="s">
        <v>7</v>
      </c>
      <c r="G5" s="156" t="s">
        <v>8</v>
      </c>
      <c r="H5" s="156" t="s">
        <v>9</v>
      </c>
      <c r="I5" s="156" t="s">
        <v>10</v>
      </c>
      <c r="J5" s="156" t="s">
        <v>11</v>
      </c>
      <c r="K5" s="156" t="s">
        <v>12</v>
      </c>
      <c r="L5" s="157" t="s">
        <v>266</v>
      </c>
      <c r="M5" s="157" t="s">
        <v>263</v>
      </c>
      <c r="N5" s="156" t="s">
        <v>71</v>
      </c>
      <c r="O5" s="156" t="s">
        <v>13</v>
      </c>
      <c r="P5" s="440" t="s">
        <v>70</v>
      </c>
      <c r="Q5" s="441"/>
      <c r="R5" s="228"/>
      <c r="S5" s="237" t="s">
        <v>10</v>
      </c>
      <c r="T5" s="235" t="s">
        <v>10</v>
      </c>
      <c r="U5" s="238" t="s">
        <v>10</v>
      </c>
      <c r="V5" s="237" t="s">
        <v>10</v>
      </c>
      <c r="W5" s="235" t="s">
        <v>10</v>
      </c>
      <c r="X5" s="238" t="s">
        <v>10</v>
      </c>
      <c r="Y5" s="236"/>
      <c r="Z5" s="237" t="s">
        <v>13</v>
      </c>
      <c r="AA5" s="235" t="s">
        <v>13</v>
      </c>
      <c r="AB5" s="238" t="s">
        <v>13</v>
      </c>
    </row>
    <row r="6" spans="1:28" ht="14.25">
      <c r="A6" s="148"/>
      <c r="B6" s="158"/>
      <c r="C6" s="159" t="s">
        <v>14</v>
      </c>
      <c r="D6" s="160"/>
      <c r="E6" s="161" t="s">
        <v>15</v>
      </c>
      <c r="F6" s="161"/>
      <c r="G6" s="159" t="s">
        <v>16</v>
      </c>
      <c r="H6" s="161" t="s">
        <v>17</v>
      </c>
      <c r="I6" s="159" t="s">
        <v>232</v>
      </c>
      <c r="J6" s="161" t="s">
        <v>18</v>
      </c>
      <c r="K6" s="161" t="s">
        <v>17</v>
      </c>
      <c r="L6" s="159" t="s">
        <v>16</v>
      </c>
      <c r="M6" s="161" t="s">
        <v>46</v>
      </c>
      <c r="N6" s="161" t="s">
        <v>19</v>
      </c>
      <c r="O6" s="162" t="str">
        <f>"MAX=20"</f>
        <v>MAX=20</v>
      </c>
      <c r="P6" s="163"/>
      <c r="Q6" s="164"/>
      <c r="R6" s="229"/>
      <c r="S6" s="241" t="s">
        <v>20</v>
      </c>
      <c r="T6" s="239" t="s">
        <v>22</v>
      </c>
      <c r="U6" s="242" t="s">
        <v>21</v>
      </c>
      <c r="V6" s="241" t="s">
        <v>20</v>
      </c>
      <c r="W6" s="239" t="s">
        <v>22</v>
      </c>
      <c r="X6" s="242" t="s">
        <v>21</v>
      </c>
      <c r="Y6" s="240"/>
      <c r="Z6" s="241" t="s">
        <v>78</v>
      </c>
      <c r="AA6" s="239" t="s">
        <v>79</v>
      </c>
      <c r="AB6" s="242" t="s">
        <v>80</v>
      </c>
    </row>
    <row r="7" spans="1:28" ht="14.25">
      <c r="A7" s="148"/>
      <c r="B7" s="165">
        <v>1</v>
      </c>
      <c r="C7" s="166">
        <v>5752</v>
      </c>
      <c r="D7" s="167" t="str">
        <f t="shared" ref="D7:D23" si="0">IF(ISBLANK(C7),"",VLOOKUP(C7,各艇データ,2,FALSE))</f>
        <v>アルファ</v>
      </c>
      <c r="E7" s="265">
        <f t="shared" ref="E7:E23" si="1">IF($I$6="Ⅰ",S7,IF($I$6="Ⅱ",T7,IF($I$6="Ⅲ",U7,"")))</f>
        <v>10.18</v>
      </c>
      <c r="F7" s="168">
        <v>2</v>
      </c>
      <c r="G7" s="169">
        <v>0.48461805555555554</v>
      </c>
      <c r="H7" s="166">
        <f t="shared" ref="H7:H23" si="2">IFERROR(IF(G7-$Q$2&lt;=0,"",(G7-$Q$2)*86400),"")</f>
        <v>4070.9999999999986</v>
      </c>
      <c r="I7" s="170">
        <f t="shared" ref="I7:I23" si="3">IF($I$6="Ⅰ",V7,IF($I$6="Ⅱ",W7,IF($I$6="Ⅲ",X7,"")))</f>
        <v>557</v>
      </c>
      <c r="J7" s="168"/>
      <c r="K7" s="171">
        <f t="shared" ref="K7:K23" si="4">IFERROR(H7*(1+0.01*J7)-I7*$N$3,"")</f>
        <v>-719.20000000000118</v>
      </c>
      <c r="L7" s="169">
        <f t="shared" ref="L7:L23" si="5">IFERROR((K7-$K$7)/86400,"")</f>
        <v>0</v>
      </c>
      <c r="M7" s="172">
        <f t="shared" ref="M7:M23" si="6">IFERROR((K7-$K$7)/$N$3,"")</f>
        <v>0</v>
      </c>
      <c r="N7" s="173">
        <f t="shared" ref="N7:N23" si="7">IFERROR($N$3/(H7/3600),"")</f>
        <v>7.6050110537951392</v>
      </c>
      <c r="O7" s="174">
        <f t="shared" ref="O7:O23" si="8">ROUND(IF($O$6="MAX=20",Z7,IF($O$6="MAX=30",AA7,IF($O$6="MAX=40",AB7,""))),1)</f>
        <v>20</v>
      </c>
      <c r="P7" s="411"/>
      <c r="Q7" s="175"/>
      <c r="R7" s="228"/>
      <c r="S7" s="244">
        <f t="shared" ref="S7:S31" si="9">IF(ISBLANK(C7),"",VLOOKUP(C7,各艇データ,3,FALSE))</f>
        <v>10.43</v>
      </c>
      <c r="T7" s="245">
        <f t="shared" ref="T7:T31" si="10">IF(ISBLANK(C7),"",VLOOKUP(C7,各艇データ,4,FALSE))</f>
        <v>10.18</v>
      </c>
      <c r="U7" s="246">
        <f t="shared" ref="U7:U31" si="11">IF(ISBLANK(C7),"",VLOOKUP(C7,各艇データ,5,FALSE))</f>
        <v>9.92</v>
      </c>
      <c r="V7" s="247">
        <f t="shared" ref="V7:V31" si="12">IF(ISBLANK(C7),"",VLOOKUP(C7,各艇データ,6,FALSE))</f>
        <v>892.7</v>
      </c>
      <c r="W7" s="248">
        <f t="shared" ref="W7:W31" si="13">IF(ISBLANK(C7),"",VLOOKUP(C7,各艇データ,7,FALSE))</f>
        <v>557</v>
      </c>
      <c r="X7" s="249">
        <f t="shared" ref="X7:X31" si="14">IF(ISBLANK(C7),"",VLOOKUP(C7,各艇データ,8,FALSE))</f>
        <v>492.1</v>
      </c>
      <c r="Y7" s="236"/>
      <c r="Z7" s="250">
        <f>IF(ISBLANK(B7),"",IFERROR(20*($P$3+1-$B7)/$P$3,"20.0"))</f>
        <v>20</v>
      </c>
      <c r="AA7" s="243">
        <f>IF(ISBLANK(B7),"",IFERROR(30*($P$3+1-$B7)/$P$3,"30.0"))</f>
        <v>30</v>
      </c>
      <c r="AB7" s="251">
        <f>IF(ISBLANK(B7),"",IFERROR(30*($P$3-$B7)/($P$3-1)+10,"20.0"))</f>
        <v>40</v>
      </c>
    </row>
    <row r="8" spans="1:28" ht="14.25">
      <c r="A8" s="148"/>
      <c r="B8" s="176">
        <v>2</v>
      </c>
      <c r="C8" s="177">
        <v>6793</v>
      </c>
      <c r="D8" s="178" t="str">
        <f t="shared" si="0"/>
        <v>Miss Nippon Ⅷ</v>
      </c>
      <c r="E8" s="266">
        <f t="shared" si="1"/>
        <v>10.61</v>
      </c>
      <c r="F8" s="179">
        <v>1</v>
      </c>
      <c r="G8" s="180">
        <v>0.48422453703703705</v>
      </c>
      <c r="H8" s="177">
        <f t="shared" si="2"/>
        <v>4037.0000000000014</v>
      </c>
      <c r="I8" s="181">
        <f t="shared" si="3"/>
        <v>549.1</v>
      </c>
      <c r="J8" s="179"/>
      <c r="K8" s="182">
        <f t="shared" si="4"/>
        <v>-685.25999999999885</v>
      </c>
      <c r="L8" s="180">
        <f t="shared" si="5"/>
        <v>3.9282407407410102E-4</v>
      </c>
      <c r="M8" s="183">
        <f t="shared" si="6"/>
        <v>3.9465116279072476</v>
      </c>
      <c r="N8" s="184">
        <f t="shared" si="7"/>
        <v>7.6690611840475578</v>
      </c>
      <c r="O8" s="185">
        <f t="shared" si="8"/>
        <v>18.8</v>
      </c>
      <c r="P8" s="219"/>
      <c r="Q8" s="187"/>
      <c r="R8" s="228"/>
      <c r="S8" s="244">
        <f t="shared" si="9"/>
        <v>10.61</v>
      </c>
      <c r="T8" s="245">
        <f t="shared" si="10"/>
        <v>10.61</v>
      </c>
      <c r="U8" s="246">
        <f t="shared" si="11"/>
        <v>10.26</v>
      </c>
      <c r="V8" s="247">
        <f t="shared" si="12"/>
        <v>887.5</v>
      </c>
      <c r="W8" s="248">
        <f t="shared" si="13"/>
        <v>549.1</v>
      </c>
      <c r="X8" s="249">
        <f t="shared" si="14"/>
        <v>485.5</v>
      </c>
      <c r="Y8" s="236"/>
      <c r="Z8" s="250">
        <f t="shared" ref="Z8:Z31" si="15">IF(ISBLANK(B8),"",IFERROR(20*($P$3+1-$B8)/$P$3,"20.0"))</f>
        <v>18.823529411764707</v>
      </c>
      <c r="AA8" s="243">
        <f t="shared" ref="AA8:AA31" si="16">IF(ISBLANK(B8),"",IFERROR(30*($P$3+1-$B8)/$P$3,"30.0"))</f>
        <v>28.235294117647058</v>
      </c>
      <c r="AB8" s="251">
        <f t="shared" ref="AB8:AB31" si="17">IF(ISBLANK(B8),"",IFERROR(30*($P$3-$B8)/($P$3-1)+10,"20.0"))</f>
        <v>38.125</v>
      </c>
    </row>
    <row r="9" spans="1:28" ht="14.25">
      <c r="A9" s="148"/>
      <c r="B9" s="176">
        <v>3</v>
      </c>
      <c r="C9" s="177">
        <v>1733</v>
      </c>
      <c r="D9" s="178" t="str">
        <f t="shared" si="0"/>
        <v>ケロニア</v>
      </c>
      <c r="E9" s="266">
        <f t="shared" si="1"/>
        <v>9.57</v>
      </c>
      <c r="F9" s="179">
        <v>3</v>
      </c>
      <c r="G9" s="180">
        <v>0.486875</v>
      </c>
      <c r="H9" s="177">
        <f t="shared" si="2"/>
        <v>4266</v>
      </c>
      <c r="I9" s="181">
        <f t="shared" si="3"/>
        <v>569.29999999999995</v>
      </c>
      <c r="J9" s="179"/>
      <c r="K9" s="182">
        <f t="shared" si="4"/>
        <v>-629.97999999999956</v>
      </c>
      <c r="L9" s="180">
        <f t="shared" si="5"/>
        <v>1.0326388888889076E-3</v>
      </c>
      <c r="M9" s="183">
        <f t="shared" si="6"/>
        <v>10.374418604651352</v>
      </c>
      <c r="N9" s="184">
        <f t="shared" si="7"/>
        <v>7.257383966244725</v>
      </c>
      <c r="O9" s="185">
        <f t="shared" si="8"/>
        <v>17.600000000000001</v>
      </c>
      <c r="P9" s="219"/>
      <c r="Q9" s="187"/>
      <c r="R9" s="228"/>
      <c r="S9" s="244">
        <f t="shared" si="9"/>
        <v>9.67</v>
      </c>
      <c r="T9" s="245">
        <f t="shared" si="10"/>
        <v>9.57</v>
      </c>
      <c r="U9" s="246">
        <f t="shared" si="11"/>
        <v>9.4</v>
      </c>
      <c r="V9" s="247">
        <f t="shared" si="12"/>
        <v>915.7</v>
      </c>
      <c r="W9" s="248">
        <f t="shared" si="13"/>
        <v>569.29999999999995</v>
      </c>
      <c r="X9" s="249">
        <f t="shared" si="14"/>
        <v>503.2</v>
      </c>
      <c r="Y9" s="236"/>
      <c r="Z9" s="250">
        <f t="shared" si="15"/>
        <v>17.647058823529413</v>
      </c>
      <c r="AA9" s="243">
        <f t="shared" si="16"/>
        <v>26.470588235294116</v>
      </c>
      <c r="AB9" s="251">
        <f t="shared" si="17"/>
        <v>36.25</v>
      </c>
    </row>
    <row r="10" spans="1:28" ht="14.25">
      <c r="A10" s="148"/>
      <c r="B10" s="176">
        <v>4</v>
      </c>
      <c r="C10" s="177">
        <v>199</v>
      </c>
      <c r="D10" s="178" t="str">
        <f t="shared" si="0"/>
        <v>サ－モン4</v>
      </c>
      <c r="E10" s="266">
        <f t="shared" si="1"/>
        <v>9.15</v>
      </c>
      <c r="F10" s="179">
        <v>4</v>
      </c>
      <c r="G10" s="180">
        <v>0.48800925925925925</v>
      </c>
      <c r="H10" s="177">
        <f t="shared" si="2"/>
        <v>4363.9999999999991</v>
      </c>
      <c r="I10" s="181">
        <f t="shared" si="3"/>
        <v>578.20000000000005</v>
      </c>
      <c r="J10" s="179"/>
      <c r="K10" s="182">
        <f t="shared" si="4"/>
        <v>-608.52000000000135</v>
      </c>
      <c r="L10" s="180">
        <f t="shared" si="5"/>
        <v>1.2810185185185166E-3</v>
      </c>
      <c r="M10" s="183">
        <f t="shared" si="6"/>
        <v>12.869767441860446</v>
      </c>
      <c r="N10" s="184">
        <f t="shared" si="7"/>
        <v>7.0944087992667297</v>
      </c>
      <c r="O10" s="185">
        <f t="shared" si="8"/>
        <v>16.5</v>
      </c>
      <c r="P10" s="186"/>
      <c r="Q10" s="187"/>
      <c r="R10" s="228"/>
      <c r="S10" s="244">
        <f t="shared" si="9"/>
        <v>8.99</v>
      </c>
      <c r="T10" s="245">
        <f t="shared" si="10"/>
        <v>9.15</v>
      </c>
      <c r="U10" s="246">
        <f t="shared" si="11"/>
        <v>9.1</v>
      </c>
      <c r="V10" s="247">
        <f t="shared" si="12"/>
        <v>939</v>
      </c>
      <c r="W10" s="248">
        <f t="shared" si="13"/>
        <v>578.20000000000005</v>
      </c>
      <c r="X10" s="249">
        <f t="shared" si="14"/>
        <v>509.9</v>
      </c>
      <c r="Y10" s="236"/>
      <c r="Z10" s="250">
        <f t="shared" si="15"/>
        <v>16.470588235294116</v>
      </c>
      <c r="AA10" s="243">
        <f t="shared" si="16"/>
        <v>24.705882352941178</v>
      </c>
      <c r="AB10" s="251">
        <f t="shared" si="17"/>
        <v>34.375</v>
      </c>
    </row>
    <row r="11" spans="1:28" ht="14.25">
      <c r="A11" s="148"/>
      <c r="B11" s="188">
        <v>5</v>
      </c>
      <c r="C11" s="189">
        <v>1611</v>
      </c>
      <c r="D11" s="190" t="str">
        <f t="shared" si="0"/>
        <v>ﾈﾌﾟﾁｭｰﾝXⅡ</v>
      </c>
      <c r="E11" s="267">
        <f t="shared" si="1"/>
        <v>8.15</v>
      </c>
      <c r="F11" s="191">
        <v>7</v>
      </c>
      <c r="G11" s="192">
        <v>0.49077546296296298</v>
      </c>
      <c r="H11" s="193">
        <f t="shared" si="2"/>
        <v>4603.0000000000018</v>
      </c>
      <c r="I11" s="194">
        <f t="shared" si="3"/>
        <v>602.20000000000005</v>
      </c>
      <c r="J11" s="195"/>
      <c r="K11" s="196">
        <f t="shared" si="4"/>
        <v>-575.91999999999825</v>
      </c>
      <c r="L11" s="197">
        <f t="shared" si="5"/>
        <v>1.6583333333333673E-3</v>
      </c>
      <c r="M11" s="198">
        <f t="shared" si="6"/>
        <v>16.660465116279411</v>
      </c>
      <c r="N11" s="199">
        <f t="shared" si="7"/>
        <v>6.7260482294155954</v>
      </c>
      <c r="O11" s="200">
        <f t="shared" si="8"/>
        <v>15.3</v>
      </c>
      <c r="P11" s="426"/>
      <c r="Q11" s="202"/>
      <c r="R11" s="228"/>
      <c r="S11" s="244">
        <f t="shared" si="9"/>
        <v>8.0299999999999994</v>
      </c>
      <c r="T11" s="245">
        <f t="shared" si="10"/>
        <v>8.15</v>
      </c>
      <c r="U11" s="246">
        <f t="shared" si="11"/>
        <v>7.98</v>
      </c>
      <c r="V11" s="247">
        <f t="shared" si="12"/>
        <v>975.7</v>
      </c>
      <c r="W11" s="248">
        <f t="shared" si="13"/>
        <v>602.20000000000005</v>
      </c>
      <c r="X11" s="249">
        <f t="shared" si="14"/>
        <v>538.1</v>
      </c>
      <c r="Y11" s="236"/>
      <c r="Z11" s="250">
        <f t="shared" si="15"/>
        <v>15.294117647058824</v>
      </c>
      <c r="AA11" s="243">
        <f t="shared" si="16"/>
        <v>22.941176470588236</v>
      </c>
      <c r="AB11" s="251">
        <f t="shared" si="17"/>
        <v>32.5</v>
      </c>
    </row>
    <row r="12" spans="1:28" ht="14.25">
      <c r="A12" s="148"/>
      <c r="B12" s="165">
        <v>6</v>
      </c>
      <c r="C12" s="166">
        <v>150</v>
      </c>
      <c r="D12" s="167" t="str">
        <f t="shared" si="0"/>
        <v>SHARK X</v>
      </c>
      <c r="E12" s="265">
        <f t="shared" si="1"/>
        <v>8.68</v>
      </c>
      <c r="F12" s="168">
        <v>5</v>
      </c>
      <c r="G12" s="169">
        <v>0.48951388888888886</v>
      </c>
      <c r="H12" s="166">
        <f t="shared" si="2"/>
        <v>4493.9999999999973</v>
      </c>
      <c r="I12" s="170">
        <f t="shared" si="3"/>
        <v>588.9</v>
      </c>
      <c r="J12" s="168"/>
      <c r="K12" s="171">
        <f t="shared" si="4"/>
        <v>-570.54000000000269</v>
      </c>
      <c r="L12" s="169">
        <f t="shared" si="5"/>
        <v>1.7206018518518343E-3</v>
      </c>
      <c r="M12" s="172">
        <f t="shared" si="6"/>
        <v>17.286046511627731</v>
      </c>
      <c r="N12" s="173">
        <f t="shared" si="7"/>
        <v>6.8891855807743694</v>
      </c>
      <c r="O12" s="174">
        <f t="shared" si="8"/>
        <v>14.1</v>
      </c>
      <c r="P12" s="427"/>
      <c r="Q12" s="175"/>
      <c r="R12" s="228"/>
      <c r="S12" s="244">
        <f t="shared" si="9"/>
        <v>9.06</v>
      </c>
      <c r="T12" s="245">
        <f t="shared" si="10"/>
        <v>8.68</v>
      </c>
      <c r="U12" s="246">
        <f t="shared" si="11"/>
        <v>8.5</v>
      </c>
      <c r="V12" s="247">
        <f t="shared" si="12"/>
        <v>936.4</v>
      </c>
      <c r="W12" s="248">
        <f t="shared" si="13"/>
        <v>588.9</v>
      </c>
      <c r="X12" s="249">
        <f t="shared" si="14"/>
        <v>524.4</v>
      </c>
      <c r="Y12" s="236"/>
      <c r="Z12" s="250">
        <f t="shared" si="15"/>
        <v>14.117647058823529</v>
      </c>
      <c r="AA12" s="243">
        <f t="shared" si="16"/>
        <v>21.176470588235293</v>
      </c>
      <c r="AB12" s="251">
        <f t="shared" si="17"/>
        <v>30.625</v>
      </c>
    </row>
    <row r="13" spans="1:28" ht="14.25">
      <c r="A13" s="148"/>
      <c r="B13" s="176">
        <v>7</v>
      </c>
      <c r="C13" s="177">
        <v>5755</v>
      </c>
      <c r="D13" s="178" t="str">
        <f t="shared" si="0"/>
        <v>ランカ</v>
      </c>
      <c r="E13" s="266">
        <f t="shared" si="1"/>
        <v>8.2100000000000009</v>
      </c>
      <c r="F13" s="179">
        <v>8</v>
      </c>
      <c r="G13" s="180">
        <v>0.49079861111111112</v>
      </c>
      <c r="H13" s="177">
        <f t="shared" si="2"/>
        <v>4605</v>
      </c>
      <c r="I13" s="181">
        <f t="shared" si="3"/>
        <v>600.5</v>
      </c>
      <c r="J13" s="179"/>
      <c r="K13" s="182">
        <f t="shared" si="4"/>
        <v>-559.30000000000018</v>
      </c>
      <c r="L13" s="180">
        <f t="shared" si="5"/>
        <v>1.850694444444456E-3</v>
      </c>
      <c r="M13" s="183">
        <f t="shared" si="6"/>
        <v>18.593023255814071</v>
      </c>
      <c r="N13" s="184">
        <f t="shared" si="7"/>
        <v>6.7231270358306192</v>
      </c>
      <c r="O13" s="185">
        <f t="shared" si="8"/>
        <v>12.9</v>
      </c>
      <c r="P13" s="186"/>
      <c r="Q13" s="187"/>
      <c r="R13" s="228"/>
      <c r="S13" s="244">
        <f t="shared" si="9"/>
        <v>8.25</v>
      </c>
      <c r="T13" s="245">
        <f t="shared" si="10"/>
        <v>8.2100000000000009</v>
      </c>
      <c r="U13" s="246">
        <f t="shared" si="11"/>
        <v>8.1300000000000008</v>
      </c>
      <c r="V13" s="247">
        <f t="shared" si="12"/>
        <v>966.8</v>
      </c>
      <c r="W13" s="248">
        <f t="shared" si="13"/>
        <v>600.5</v>
      </c>
      <c r="X13" s="249">
        <f t="shared" si="14"/>
        <v>534.1</v>
      </c>
      <c r="Y13" s="236"/>
      <c r="Z13" s="250">
        <f t="shared" si="15"/>
        <v>12.941176470588236</v>
      </c>
      <c r="AA13" s="243">
        <f t="shared" si="16"/>
        <v>19.411764705882351</v>
      </c>
      <c r="AB13" s="251">
        <f t="shared" si="17"/>
        <v>28.75</v>
      </c>
    </row>
    <row r="14" spans="1:28" ht="14.25">
      <c r="A14" s="148"/>
      <c r="B14" s="176">
        <v>8</v>
      </c>
      <c r="C14" s="177">
        <v>131</v>
      </c>
      <c r="D14" s="178" t="str">
        <f t="shared" si="0"/>
        <v>ふるたか</v>
      </c>
      <c r="E14" s="266">
        <f t="shared" si="1"/>
        <v>8.31</v>
      </c>
      <c r="F14" s="179">
        <v>9</v>
      </c>
      <c r="G14" s="180">
        <v>0.49104166666666665</v>
      </c>
      <c r="H14" s="177">
        <f t="shared" si="2"/>
        <v>4625.9999999999991</v>
      </c>
      <c r="I14" s="181">
        <f t="shared" si="3"/>
        <v>598.20000000000005</v>
      </c>
      <c r="J14" s="179"/>
      <c r="K14" s="182">
        <f t="shared" si="4"/>
        <v>-518.52000000000135</v>
      </c>
      <c r="L14" s="180">
        <f t="shared" si="5"/>
        <v>2.3226851851851833E-3</v>
      </c>
      <c r="M14" s="183">
        <f t="shared" si="6"/>
        <v>23.334883720930215</v>
      </c>
      <c r="N14" s="184">
        <f t="shared" si="7"/>
        <v>6.6926070038910517</v>
      </c>
      <c r="O14" s="185">
        <f t="shared" si="8"/>
        <v>11.8</v>
      </c>
      <c r="P14" s="219"/>
      <c r="Q14" s="187"/>
      <c r="R14" s="228"/>
      <c r="S14" s="244">
        <f t="shared" si="9"/>
        <v>8.2899999999999991</v>
      </c>
      <c r="T14" s="245">
        <f t="shared" si="10"/>
        <v>8.31</v>
      </c>
      <c r="U14" s="246">
        <f t="shared" si="11"/>
        <v>8.0500000000000007</v>
      </c>
      <c r="V14" s="247">
        <f t="shared" si="12"/>
        <v>965.1</v>
      </c>
      <c r="W14" s="248">
        <f t="shared" si="13"/>
        <v>598.20000000000005</v>
      </c>
      <c r="X14" s="249">
        <f t="shared" si="14"/>
        <v>536.29999999999995</v>
      </c>
      <c r="Y14" s="236"/>
      <c r="Z14" s="250">
        <f t="shared" si="15"/>
        <v>11.764705882352942</v>
      </c>
      <c r="AA14" s="243">
        <f t="shared" si="16"/>
        <v>17.647058823529413</v>
      </c>
      <c r="AB14" s="251">
        <f t="shared" si="17"/>
        <v>26.875</v>
      </c>
    </row>
    <row r="15" spans="1:28" ht="14.25">
      <c r="A15" s="148"/>
      <c r="B15" s="176">
        <v>9</v>
      </c>
      <c r="C15" s="177">
        <v>2212</v>
      </c>
      <c r="D15" s="178" t="str">
        <f t="shared" si="0"/>
        <v>衣笠</v>
      </c>
      <c r="E15" s="266">
        <f t="shared" si="1"/>
        <v>9.09</v>
      </c>
      <c r="F15" s="179">
        <v>6</v>
      </c>
      <c r="G15" s="180">
        <v>0.48973379629629626</v>
      </c>
      <c r="H15" s="177">
        <f t="shared" si="2"/>
        <v>4512.9999999999973</v>
      </c>
      <c r="I15" s="181">
        <f t="shared" si="3"/>
        <v>579.70000000000005</v>
      </c>
      <c r="J15" s="179"/>
      <c r="K15" s="182">
        <f t="shared" si="4"/>
        <v>-472.4200000000028</v>
      </c>
      <c r="L15" s="180">
        <f t="shared" si="5"/>
        <v>2.8562499999999812E-3</v>
      </c>
      <c r="M15" s="183">
        <f t="shared" si="6"/>
        <v>28.695348837209114</v>
      </c>
      <c r="N15" s="184">
        <f t="shared" si="7"/>
        <v>6.8601816973188603</v>
      </c>
      <c r="O15" s="185">
        <f t="shared" si="8"/>
        <v>10.6</v>
      </c>
      <c r="P15" s="428"/>
      <c r="Q15" s="187"/>
      <c r="R15" s="228"/>
      <c r="S15" s="244">
        <f t="shared" si="9"/>
        <v>8.86</v>
      </c>
      <c r="T15" s="245">
        <f t="shared" si="10"/>
        <v>9.09</v>
      </c>
      <c r="U15" s="246">
        <f t="shared" si="11"/>
        <v>9.0399999999999991</v>
      </c>
      <c r="V15" s="247">
        <f t="shared" si="12"/>
        <v>943.4</v>
      </c>
      <c r="W15" s="248">
        <f t="shared" si="13"/>
        <v>579.70000000000005</v>
      </c>
      <c r="X15" s="249">
        <f t="shared" si="14"/>
        <v>511.3</v>
      </c>
      <c r="Y15" s="236"/>
      <c r="Z15" s="250">
        <f t="shared" si="15"/>
        <v>10.588235294117647</v>
      </c>
      <c r="AA15" s="243">
        <f t="shared" si="16"/>
        <v>15.882352941176471</v>
      </c>
      <c r="AB15" s="251">
        <f t="shared" si="17"/>
        <v>25</v>
      </c>
    </row>
    <row r="16" spans="1:28" ht="14.25">
      <c r="A16" s="148"/>
      <c r="B16" s="188">
        <v>10</v>
      </c>
      <c r="C16" s="189">
        <v>5496</v>
      </c>
      <c r="D16" s="190" t="str">
        <f t="shared" si="0"/>
        <v>桜工</v>
      </c>
      <c r="E16" s="267">
        <f t="shared" si="1"/>
        <v>8.7799999999999994</v>
      </c>
      <c r="F16" s="191">
        <v>11</v>
      </c>
      <c r="G16" s="192">
        <v>0.49249999999999999</v>
      </c>
      <c r="H16" s="189">
        <f t="shared" si="2"/>
        <v>4751.9999999999991</v>
      </c>
      <c r="I16" s="203">
        <f t="shared" si="3"/>
        <v>586.6</v>
      </c>
      <c r="J16" s="191"/>
      <c r="K16" s="205">
        <f t="shared" si="4"/>
        <v>-292.76000000000113</v>
      </c>
      <c r="L16" s="192">
        <f t="shared" si="5"/>
        <v>4.9356481481481491E-3</v>
      </c>
      <c r="M16" s="206">
        <f t="shared" si="6"/>
        <v>49.586046511627913</v>
      </c>
      <c r="N16" s="207">
        <f t="shared" si="7"/>
        <v>6.5151515151515156</v>
      </c>
      <c r="O16" s="208">
        <f t="shared" si="8"/>
        <v>9.4</v>
      </c>
      <c r="P16" s="260"/>
      <c r="Q16" s="202"/>
      <c r="R16" s="228"/>
      <c r="S16" s="244">
        <f t="shared" si="9"/>
        <v>9.09</v>
      </c>
      <c r="T16" s="245">
        <f t="shared" si="10"/>
        <v>8.7799999999999994</v>
      </c>
      <c r="U16" s="246">
        <f t="shared" si="11"/>
        <v>8.74</v>
      </c>
      <c r="V16" s="247">
        <f t="shared" si="12"/>
        <v>935.4</v>
      </c>
      <c r="W16" s="248">
        <f t="shared" si="13"/>
        <v>586.6</v>
      </c>
      <c r="X16" s="249">
        <f t="shared" si="14"/>
        <v>518.5</v>
      </c>
      <c r="Y16" s="236"/>
      <c r="Z16" s="250">
        <f t="shared" si="15"/>
        <v>9.4117647058823533</v>
      </c>
      <c r="AA16" s="243">
        <f t="shared" si="16"/>
        <v>14.117647058823529</v>
      </c>
      <c r="AB16" s="251">
        <f t="shared" si="17"/>
        <v>23.125</v>
      </c>
    </row>
    <row r="17" spans="1:28" ht="14.25">
      <c r="A17" s="148"/>
      <c r="B17" s="165">
        <v>11</v>
      </c>
      <c r="C17" s="166">
        <v>2759</v>
      </c>
      <c r="D17" s="167" t="str">
        <f t="shared" si="0"/>
        <v>イクソラⅢ</v>
      </c>
      <c r="E17" s="265">
        <f t="shared" si="1"/>
        <v>6.67</v>
      </c>
      <c r="F17" s="168">
        <v>15</v>
      </c>
      <c r="G17" s="169">
        <v>0.49862268518518515</v>
      </c>
      <c r="H17" s="209">
        <f t="shared" si="2"/>
        <v>5280.9999999999973</v>
      </c>
      <c r="I17" s="210">
        <f t="shared" si="3"/>
        <v>646</v>
      </c>
      <c r="J17" s="425"/>
      <c r="K17" s="212">
        <f t="shared" si="4"/>
        <v>-274.60000000000218</v>
      </c>
      <c r="L17" s="213">
        <f t="shared" si="5"/>
        <v>5.1458333333333217E-3</v>
      </c>
      <c r="M17" s="214">
        <f t="shared" si="6"/>
        <v>51.697674418604535</v>
      </c>
      <c r="N17" s="215">
        <f t="shared" si="7"/>
        <v>5.8625260367354697</v>
      </c>
      <c r="O17" s="174">
        <f t="shared" si="8"/>
        <v>8.1999999999999993</v>
      </c>
      <c r="P17" s="264"/>
      <c r="Q17" s="175"/>
      <c r="R17" s="228"/>
      <c r="S17" s="244">
        <f t="shared" si="9"/>
        <v>6.75</v>
      </c>
      <c r="T17" s="245">
        <f t="shared" si="10"/>
        <v>6.67</v>
      </c>
      <c r="U17" s="246">
        <f t="shared" si="11"/>
        <v>6.68</v>
      </c>
      <c r="V17" s="247">
        <f t="shared" si="12"/>
        <v>1034.8</v>
      </c>
      <c r="W17" s="248">
        <f t="shared" si="13"/>
        <v>646</v>
      </c>
      <c r="X17" s="249">
        <f t="shared" si="14"/>
        <v>578.79999999999995</v>
      </c>
      <c r="Y17" s="236"/>
      <c r="Z17" s="250">
        <f t="shared" si="15"/>
        <v>8.235294117647058</v>
      </c>
      <c r="AA17" s="243">
        <f t="shared" si="16"/>
        <v>12.352941176470589</v>
      </c>
      <c r="AB17" s="251">
        <f t="shared" si="17"/>
        <v>21.25</v>
      </c>
    </row>
    <row r="18" spans="1:28" ht="14.25">
      <c r="A18" s="148"/>
      <c r="B18" s="176">
        <v>12</v>
      </c>
      <c r="C18" s="177">
        <v>162</v>
      </c>
      <c r="D18" s="178" t="str">
        <f t="shared" si="0"/>
        <v>ﾌｪﾆｯｸｽ</v>
      </c>
      <c r="E18" s="266">
        <f t="shared" si="1"/>
        <v>6.84</v>
      </c>
      <c r="F18" s="179">
        <v>14</v>
      </c>
      <c r="G18" s="180">
        <v>0.49827546296296293</v>
      </c>
      <c r="H18" s="177">
        <f t="shared" si="2"/>
        <v>5250.9999999999973</v>
      </c>
      <c r="I18" s="181">
        <f t="shared" si="3"/>
        <v>640.4</v>
      </c>
      <c r="J18" s="259"/>
      <c r="K18" s="182">
        <f t="shared" si="4"/>
        <v>-256.44000000000233</v>
      </c>
      <c r="L18" s="180">
        <f t="shared" si="5"/>
        <v>5.3560185185185056E-3</v>
      </c>
      <c r="M18" s="183">
        <f t="shared" si="6"/>
        <v>53.809302325581264</v>
      </c>
      <c r="N18" s="184">
        <f t="shared" si="7"/>
        <v>5.8960198057512878</v>
      </c>
      <c r="O18" s="185">
        <f t="shared" si="8"/>
        <v>7.1</v>
      </c>
      <c r="P18" s="219"/>
      <c r="Q18" s="187"/>
      <c r="R18" s="228"/>
      <c r="S18" s="244">
        <f t="shared" si="9"/>
        <v>6.96</v>
      </c>
      <c r="T18" s="245">
        <f t="shared" si="10"/>
        <v>6.84</v>
      </c>
      <c r="U18" s="246">
        <f t="shared" si="11"/>
        <v>6.95</v>
      </c>
      <c r="V18" s="247">
        <f t="shared" si="12"/>
        <v>1024.3</v>
      </c>
      <c r="W18" s="248">
        <f t="shared" si="13"/>
        <v>640.4</v>
      </c>
      <c r="X18" s="249">
        <f t="shared" si="14"/>
        <v>569.4</v>
      </c>
      <c r="Y18" s="236"/>
      <c r="Z18" s="250">
        <f t="shared" si="15"/>
        <v>7.0588235294117645</v>
      </c>
      <c r="AA18" s="243">
        <f t="shared" si="16"/>
        <v>10.588235294117647</v>
      </c>
      <c r="AB18" s="251">
        <f t="shared" si="17"/>
        <v>19.375</v>
      </c>
    </row>
    <row r="19" spans="1:28" ht="14.25">
      <c r="A19" s="148"/>
      <c r="B19" s="176">
        <v>13</v>
      </c>
      <c r="C19" s="177">
        <v>321</v>
      </c>
      <c r="D19" s="178" t="str">
        <f t="shared" si="0"/>
        <v>かまくら</v>
      </c>
      <c r="E19" s="266">
        <f t="shared" si="1"/>
        <v>9.51</v>
      </c>
      <c r="F19" s="179">
        <v>10</v>
      </c>
      <c r="G19" s="180">
        <v>0.4914351851851852</v>
      </c>
      <c r="H19" s="177">
        <f t="shared" si="2"/>
        <v>4660.0000000000009</v>
      </c>
      <c r="I19" s="181">
        <f t="shared" si="3"/>
        <v>570.5</v>
      </c>
      <c r="J19" s="179"/>
      <c r="K19" s="182">
        <f t="shared" si="4"/>
        <v>-246.29999999999927</v>
      </c>
      <c r="L19" s="180">
        <f t="shared" si="5"/>
        <v>5.4733796296296518E-3</v>
      </c>
      <c r="M19" s="183">
        <f t="shared" si="6"/>
        <v>54.988372093023479</v>
      </c>
      <c r="N19" s="184">
        <f t="shared" si="7"/>
        <v>6.6437768240343331</v>
      </c>
      <c r="O19" s="185">
        <f t="shared" si="8"/>
        <v>5.9</v>
      </c>
      <c r="P19" s="219"/>
      <c r="Q19" s="187"/>
      <c r="R19" s="228"/>
      <c r="S19" s="244">
        <f t="shared" si="9"/>
        <v>10.15</v>
      </c>
      <c r="T19" s="245">
        <f t="shared" si="10"/>
        <v>9.51</v>
      </c>
      <c r="U19" s="246">
        <f t="shared" si="11"/>
        <v>9.44</v>
      </c>
      <c r="V19" s="247">
        <f t="shared" si="12"/>
        <v>900.8</v>
      </c>
      <c r="W19" s="248">
        <f t="shared" si="13"/>
        <v>570.5</v>
      </c>
      <c r="X19" s="249">
        <f t="shared" si="14"/>
        <v>502.2</v>
      </c>
      <c r="Y19" s="236"/>
      <c r="Z19" s="250">
        <f t="shared" si="15"/>
        <v>5.882352941176471</v>
      </c>
      <c r="AA19" s="243">
        <f t="shared" si="16"/>
        <v>8.8235294117647065</v>
      </c>
      <c r="AB19" s="251">
        <f t="shared" si="17"/>
        <v>17.5</v>
      </c>
    </row>
    <row r="20" spans="1:28" ht="14.25">
      <c r="A20" s="148"/>
      <c r="B20" s="176">
        <v>14</v>
      </c>
      <c r="C20" s="177">
        <v>312</v>
      </c>
      <c r="D20" s="178" t="str">
        <f t="shared" si="0"/>
        <v>はやとり</v>
      </c>
      <c r="E20" s="266">
        <f t="shared" si="1"/>
        <v>8.09</v>
      </c>
      <c r="F20" s="179">
        <v>13</v>
      </c>
      <c r="G20" s="180">
        <v>0.49631944444444448</v>
      </c>
      <c r="H20" s="177">
        <f t="shared" si="2"/>
        <v>5082.0000000000027</v>
      </c>
      <c r="I20" s="181">
        <f t="shared" si="3"/>
        <v>603.70000000000005</v>
      </c>
      <c r="J20" s="259"/>
      <c r="K20" s="182">
        <f t="shared" si="4"/>
        <v>-109.81999999999789</v>
      </c>
      <c r="L20" s="180">
        <f t="shared" si="5"/>
        <v>7.053009259259297E-3</v>
      </c>
      <c r="M20" s="183">
        <f t="shared" si="6"/>
        <v>70.858139534884103</v>
      </c>
      <c r="N20" s="184">
        <f t="shared" si="7"/>
        <v>6.0920897284533613</v>
      </c>
      <c r="O20" s="185">
        <f t="shared" si="8"/>
        <v>4.7</v>
      </c>
      <c r="P20" s="429"/>
      <c r="Q20" s="187"/>
      <c r="R20" s="228"/>
      <c r="S20" s="244">
        <f t="shared" si="9"/>
        <v>8.11</v>
      </c>
      <c r="T20" s="245">
        <f t="shared" si="10"/>
        <v>8.09</v>
      </c>
      <c r="U20" s="246">
        <f t="shared" si="11"/>
        <v>8.07</v>
      </c>
      <c r="V20" s="247">
        <f t="shared" si="12"/>
        <v>972.4</v>
      </c>
      <c r="W20" s="248">
        <f t="shared" si="13"/>
        <v>603.70000000000005</v>
      </c>
      <c r="X20" s="249">
        <f t="shared" si="14"/>
        <v>535.70000000000005</v>
      </c>
      <c r="Y20" s="236"/>
      <c r="Z20" s="250">
        <f t="shared" si="15"/>
        <v>4.7058823529411766</v>
      </c>
      <c r="AA20" s="243">
        <f t="shared" si="16"/>
        <v>7.0588235294117645</v>
      </c>
      <c r="AB20" s="251">
        <f t="shared" si="17"/>
        <v>15.625</v>
      </c>
    </row>
    <row r="21" spans="1:28" ht="14.25">
      <c r="A21" s="148"/>
      <c r="B21" s="188">
        <v>15</v>
      </c>
      <c r="C21" s="431">
        <v>6934</v>
      </c>
      <c r="D21" s="190" t="str">
        <f t="shared" si="0"/>
        <v>香</v>
      </c>
      <c r="E21" s="191">
        <f t="shared" si="1"/>
        <v>6.75</v>
      </c>
      <c r="F21" s="191">
        <v>16</v>
      </c>
      <c r="G21" s="192">
        <v>0.50107638888888884</v>
      </c>
      <c r="H21" s="189">
        <f t="shared" si="2"/>
        <v>5492.9999999999955</v>
      </c>
      <c r="I21" s="203">
        <f t="shared" si="3"/>
        <v>643.20000000000005</v>
      </c>
      <c r="J21" s="191"/>
      <c r="K21" s="205">
        <f t="shared" si="4"/>
        <v>-38.520000000004984</v>
      </c>
      <c r="L21" s="192">
        <f t="shared" si="5"/>
        <v>7.8782407407406961E-3</v>
      </c>
      <c r="M21" s="206">
        <f t="shared" si="6"/>
        <v>79.148837209301888</v>
      </c>
      <c r="N21" s="207">
        <f t="shared" si="7"/>
        <v>5.6362643364281855</v>
      </c>
      <c r="O21" s="208">
        <f t="shared" si="8"/>
        <v>3.5</v>
      </c>
      <c r="P21" s="260"/>
      <c r="Q21" s="202"/>
      <c r="R21" s="228"/>
      <c r="S21" s="244">
        <f t="shared" si="9"/>
        <v>7.33</v>
      </c>
      <c r="T21" s="245">
        <f t="shared" si="10"/>
        <v>6.75</v>
      </c>
      <c r="U21" s="246">
        <f t="shared" si="11"/>
        <v>7.08</v>
      </c>
      <c r="V21" s="247">
        <f t="shared" si="12"/>
        <v>1006.3</v>
      </c>
      <c r="W21" s="248">
        <f t="shared" si="13"/>
        <v>643.20000000000005</v>
      </c>
      <c r="X21" s="249">
        <f t="shared" si="14"/>
        <v>565.4</v>
      </c>
      <c r="Y21" s="236"/>
      <c r="Z21" s="250">
        <f t="shared" si="15"/>
        <v>3.5294117647058822</v>
      </c>
      <c r="AA21" s="243">
        <f t="shared" si="16"/>
        <v>5.2941176470588234</v>
      </c>
      <c r="AB21" s="251">
        <f t="shared" si="17"/>
        <v>13.75</v>
      </c>
    </row>
    <row r="22" spans="1:28" ht="14.25">
      <c r="A22" s="148"/>
      <c r="B22" s="217">
        <v>16</v>
      </c>
      <c r="C22" s="209">
        <v>6732</v>
      </c>
      <c r="D22" s="222" t="str">
        <f t="shared" si="0"/>
        <v>アイデアル</v>
      </c>
      <c r="E22" s="432">
        <f t="shared" si="1"/>
        <v>9.1300000000000008</v>
      </c>
      <c r="F22" s="211">
        <v>12</v>
      </c>
      <c r="G22" s="213">
        <v>0.49586805555555552</v>
      </c>
      <c r="H22" s="209">
        <f t="shared" si="2"/>
        <v>5042.9999999999973</v>
      </c>
      <c r="I22" s="210">
        <f t="shared" si="3"/>
        <v>578.79999999999995</v>
      </c>
      <c r="J22" s="425"/>
      <c r="K22" s="212">
        <f t="shared" si="4"/>
        <v>65.31999999999789</v>
      </c>
      <c r="L22" s="213">
        <f t="shared" si="5"/>
        <v>9.0800925925925823E-3</v>
      </c>
      <c r="M22" s="214">
        <f t="shared" si="6"/>
        <v>91.223255813953386</v>
      </c>
      <c r="N22" s="215">
        <f t="shared" si="7"/>
        <v>6.1392028554431919</v>
      </c>
      <c r="O22" s="216">
        <f t="shared" si="8"/>
        <v>2.4</v>
      </c>
      <c r="P22" s="430"/>
      <c r="Q22" s="218"/>
      <c r="R22" s="228"/>
      <c r="S22" s="244">
        <f t="shared" si="9"/>
        <v>9.59</v>
      </c>
      <c r="T22" s="245">
        <f t="shared" si="10"/>
        <v>9.1300000000000008</v>
      </c>
      <c r="U22" s="246">
        <f t="shared" si="11"/>
        <v>8.76</v>
      </c>
      <c r="V22" s="247">
        <f t="shared" si="12"/>
        <v>918.4</v>
      </c>
      <c r="W22" s="248">
        <f t="shared" si="13"/>
        <v>578.79999999999995</v>
      </c>
      <c r="X22" s="249">
        <f t="shared" si="14"/>
        <v>518</v>
      </c>
      <c r="Y22" s="236"/>
      <c r="Z22" s="250">
        <f t="shared" si="15"/>
        <v>2.3529411764705883</v>
      </c>
      <c r="AA22" s="243">
        <f t="shared" si="16"/>
        <v>3.5294117647058822</v>
      </c>
      <c r="AB22" s="251">
        <f t="shared" si="17"/>
        <v>11.875</v>
      </c>
    </row>
    <row r="23" spans="1:28" ht="14.25">
      <c r="A23" s="148"/>
      <c r="B23" s="176">
        <v>17</v>
      </c>
      <c r="C23" s="177">
        <v>1985</v>
      </c>
      <c r="D23" s="178" t="str">
        <f t="shared" si="0"/>
        <v>波勝</v>
      </c>
      <c r="E23" s="179">
        <f t="shared" si="1"/>
        <v>6.85</v>
      </c>
      <c r="F23" s="179">
        <v>17</v>
      </c>
      <c r="G23" s="180">
        <v>0.50219907407407405</v>
      </c>
      <c r="H23" s="177">
        <f t="shared" si="2"/>
        <v>5589.9999999999982</v>
      </c>
      <c r="I23" s="181">
        <f t="shared" si="3"/>
        <v>639.9</v>
      </c>
      <c r="J23" s="179"/>
      <c r="K23" s="182">
        <f t="shared" si="4"/>
        <v>86.859999999998763</v>
      </c>
      <c r="L23" s="180">
        <f t="shared" si="5"/>
        <v>9.3293981481481474E-3</v>
      </c>
      <c r="M23" s="183">
        <f t="shared" si="6"/>
        <v>93.72790697674418</v>
      </c>
      <c r="N23" s="184">
        <f t="shared" si="7"/>
        <v>5.5384615384615401</v>
      </c>
      <c r="O23" s="185">
        <f t="shared" si="8"/>
        <v>1.2</v>
      </c>
      <c r="P23" s="219"/>
      <c r="Q23" s="187"/>
      <c r="R23" s="228"/>
      <c r="S23" s="244">
        <f t="shared" si="9"/>
        <v>7.23</v>
      </c>
      <c r="T23" s="245">
        <f t="shared" si="10"/>
        <v>6.85</v>
      </c>
      <c r="U23" s="246">
        <f t="shared" si="11"/>
        <v>6.8</v>
      </c>
      <c r="V23" s="247">
        <f t="shared" si="12"/>
        <v>1010.9</v>
      </c>
      <c r="W23" s="248">
        <f t="shared" si="13"/>
        <v>639.9</v>
      </c>
      <c r="X23" s="249">
        <f t="shared" si="14"/>
        <v>574.5</v>
      </c>
      <c r="Y23" s="236"/>
      <c r="Z23" s="250">
        <f t="shared" si="15"/>
        <v>1.1764705882352942</v>
      </c>
      <c r="AA23" s="243">
        <f t="shared" si="16"/>
        <v>1.7647058823529411</v>
      </c>
      <c r="AB23" s="251">
        <f t="shared" si="17"/>
        <v>10</v>
      </c>
    </row>
    <row r="24" spans="1:28" ht="14.25">
      <c r="A24" s="148"/>
      <c r="B24" s="217"/>
      <c r="C24" s="177"/>
      <c r="D24" s="222"/>
      <c r="E24" s="179"/>
      <c r="F24" s="179"/>
      <c r="G24" s="180"/>
      <c r="H24" s="177"/>
      <c r="I24" s="181"/>
      <c r="J24" s="179"/>
      <c r="K24" s="182"/>
      <c r="L24" s="180"/>
      <c r="M24" s="183"/>
      <c r="N24" s="184"/>
      <c r="O24" s="185"/>
      <c r="P24" s="220"/>
      <c r="Q24" s="187"/>
      <c r="R24" s="228"/>
      <c r="S24" s="244" t="str">
        <f t="shared" si="9"/>
        <v/>
      </c>
      <c r="T24" s="245" t="str">
        <f t="shared" si="10"/>
        <v/>
      </c>
      <c r="U24" s="246" t="str">
        <f t="shared" si="11"/>
        <v/>
      </c>
      <c r="V24" s="247" t="str">
        <f t="shared" si="12"/>
        <v/>
      </c>
      <c r="W24" s="248" t="str">
        <f t="shared" si="13"/>
        <v/>
      </c>
      <c r="X24" s="249" t="str">
        <f t="shared" si="14"/>
        <v/>
      </c>
      <c r="Y24" s="236"/>
      <c r="Z24" s="250" t="str">
        <f t="shared" si="15"/>
        <v/>
      </c>
      <c r="AA24" s="243" t="str">
        <f t="shared" si="16"/>
        <v/>
      </c>
      <c r="AB24" s="251" t="str">
        <f t="shared" si="17"/>
        <v/>
      </c>
    </row>
    <row r="25" spans="1:28" ht="14.25">
      <c r="A25" s="148"/>
      <c r="B25" s="176"/>
      <c r="C25" s="177">
        <v>6766</v>
      </c>
      <c r="D25" s="178" t="str">
        <f t="shared" ref="D25:D31" si="18">IF(ISBLANK(C25),"",VLOOKUP(C25,各艇データ,2,FALSE))</f>
        <v>くろしお</v>
      </c>
      <c r="E25" s="179"/>
      <c r="F25" s="179"/>
      <c r="G25" s="180"/>
      <c r="H25" s="177"/>
      <c r="I25" s="181"/>
      <c r="J25" s="179"/>
      <c r="K25" s="182"/>
      <c r="L25" s="180"/>
      <c r="M25" s="183"/>
      <c r="N25" s="184"/>
      <c r="O25" s="185">
        <v>1</v>
      </c>
      <c r="P25" s="220" t="s">
        <v>444</v>
      </c>
      <c r="Q25" s="187"/>
      <c r="R25" s="228"/>
      <c r="S25" s="244">
        <f t="shared" si="9"/>
        <v>9.0500000000000007</v>
      </c>
      <c r="T25" s="245">
        <f t="shared" si="10"/>
        <v>8.57</v>
      </c>
      <c r="U25" s="246">
        <f t="shared" si="11"/>
        <v>8.58</v>
      </c>
      <c r="V25" s="247">
        <f t="shared" si="12"/>
        <v>936.7</v>
      </c>
      <c r="W25" s="248">
        <f t="shared" si="13"/>
        <v>591.79999999999995</v>
      </c>
      <c r="X25" s="249">
        <f t="shared" si="14"/>
        <v>522.5</v>
      </c>
      <c r="Y25" s="236"/>
      <c r="Z25" s="250" t="str">
        <f t="shared" si="15"/>
        <v/>
      </c>
      <c r="AA25" s="243" t="str">
        <f t="shared" si="16"/>
        <v/>
      </c>
      <c r="AB25" s="251" t="str">
        <f t="shared" si="17"/>
        <v/>
      </c>
    </row>
    <row r="26" spans="1:28" ht="14.25">
      <c r="A26" s="148"/>
      <c r="B26" s="188"/>
      <c r="C26" s="189"/>
      <c r="D26" s="190" t="str">
        <f t="shared" si="18"/>
        <v/>
      </c>
      <c r="E26" s="191"/>
      <c r="F26" s="191"/>
      <c r="G26" s="192"/>
      <c r="H26" s="189" t="str">
        <f>IFERROR(IF(G26-$Q$2&lt;=0,"",(G26-$Q$2)*86400),"")</f>
        <v/>
      </c>
      <c r="I26" s="203" t="str">
        <f>IF($I$6="Ⅰ",V26,IF($I$6="Ⅱ",W26,IF($I$6="Ⅲ",X26,"")))</f>
        <v/>
      </c>
      <c r="J26" s="191"/>
      <c r="K26" s="205" t="str">
        <f>IFERROR(H26*(1+0.01*J26)-I26*$N$3,"")</f>
        <v/>
      </c>
      <c r="L26" s="192" t="str">
        <f>IFERROR((K26-$K$7)/86400,"")</f>
        <v/>
      </c>
      <c r="M26" s="206" t="str">
        <f>IFERROR((K26-$K$7)/$N$3,"")</f>
        <v/>
      </c>
      <c r="N26" s="207" t="str">
        <f>IFERROR($N$3/(H26/3600),"")</f>
        <v/>
      </c>
      <c r="O26" s="208" t="str">
        <f>IF($O$6="MAX=20",Z26,IF($O$6="MAX=30",AA26,IF($O$6="MAX=40",AB26,"")))</f>
        <v/>
      </c>
      <c r="P26" s="221"/>
      <c r="Q26" s="202"/>
      <c r="R26" s="228"/>
      <c r="S26" s="244" t="str">
        <f t="shared" si="9"/>
        <v/>
      </c>
      <c r="T26" s="245" t="str">
        <f t="shared" si="10"/>
        <v/>
      </c>
      <c r="U26" s="246" t="str">
        <f t="shared" si="11"/>
        <v/>
      </c>
      <c r="V26" s="247" t="str">
        <f t="shared" si="12"/>
        <v/>
      </c>
      <c r="W26" s="248" t="str">
        <f t="shared" si="13"/>
        <v/>
      </c>
      <c r="X26" s="249" t="str">
        <f t="shared" si="14"/>
        <v/>
      </c>
      <c r="Y26" s="236"/>
      <c r="Z26" s="250" t="str">
        <f t="shared" si="15"/>
        <v/>
      </c>
      <c r="AA26" s="243" t="str">
        <f t="shared" si="16"/>
        <v/>
      </c>
      <c r="AB26" s="251" t="str">
        <f t="shared" si="17"/>
        <v/>
      </c>
    </row>
    <row r="27" spans="1:28" ht="14.25">
      <c r="A27" s="148"/>
      <c r="B27" s="217"/>
      <c r="C27" s="209"/>
      <c r="D27" s="222" t="str">
        <f t="shared" si="18"/>
        <v/>
      </c>
      <c r="E27" s="211"/>
      <c r="F27" s="211"/>
      <c r="G27" s="213"/>
      <c r="H27" s="166" t="str">
        <f>IFERROR(IF(G27-$Q$2&lt;=0,"",(G27-$Q$2)*86400),"")</f>
        <v/>
      </c>
      <c r="I27" s="170"/>
      <c r="J27" s="168"/>
      <c r="K27" s="171" t="str">
        <f>IFERROR(H27*(1+0.01*J27)-I27*$N$3,"")</f>
        <v/>
      </c>
      <c r="L27" s="169" t="str">
        <f>IFERROR((K27-$K$7)/86400,"")</f>
        <v/>
      </c>
      <c r="M27" s="172" t="str">
        <f>IFERROR((K27-$K$7)/$N$3,"")</f>
        <v/>
      </c>
      <c r="N27" s="173" t="str">
        <f>IFERROR($N$3/(H27/3600),"")</f>
        <v/>
      </c>
      <c r="O27" s="174"/>
      <c r="P27" s="223"/>
      <c r="Q27" s="218"/>
      <c r="R27" s="228"/>
      <c r="S27" s="244" t="str">
        <f t="shared" si="9"/>
        <v/>
      </c>
      <c r="T27" s="245" t="str">
        <f t="shared" si="10"/>
        <v/>
      </c>
      <c r="U27" s="246" t="str">
        <f t="shared" si="11"/>
        <v/>
      </c>
      <c r="V27" s="247" t="str">
        <f t="shared" si="12"/>
        <v/>
      </c>
      <c r="W27" s="248" t="str">
        <f t="shared" si="13"/>
        <v/>
      </c>
      <c r="X27" s="249" t="str">
        <f t="shared" si="14"/>
        <v/>
      </c>
      <c r="Y27" s="236"/>
      <c r="Z27" s="250" t="str">
        <f t="shared" si="15"/>
        <v/>
      </c>
      <c r="AA27" s="243" t="str">
        <f t="shared" si="16"/>
        <v/>
      </c>
      <c r="AB27" s="251" t="str">
        <f t="shared" si="17"/>
        <v/>
      </c>
    </row>
    <row r="28" spans="1:28" ht="14.25" customHeight="1">
      <c r="A28" s="148"/>
      <c r="B28" s="176"/>
      <c r="C28" s="177"/>
      <c r="D28" s="178" t="str">
        <f t="shared" si="18"/>
        <v/>
      </c>
      <c r="E28" s="179"/>
      <c r="F28" s="179"/>
      <c r="G28" s="180"/>
      <c r="H28" s="177"/>
      <c r="I28" s="181"/>
      <c r="J28" s="179"/>
      <c r="K28" s="182"/>
      <c r="L28" s="180"/>
      <c r="M28" s="183"/>
      <c r="N28" s="184"/>
      <c r="O28" s="185"/>
      <c r="P28" s="224"/>
      <c r="Q28" s="187"/>
      <c r="R28" s="228"/>
      <c r="S28" s="244" t="str">
        <f t="shared" si="9"/>
        <v/>
      </c>
      <c r="T28" s="245" t="str">
        <f t="shared" si="10"/>
        <v/>
      </c>
      <c r="U28" s="246" t="str">
        <f t="shared" si="11"/>
        <v/>
      </c>
      <c r="V28" s="247" t="str">
        <f t="shared" si="12"/>
        <v/>
      </c>
      <c r="W28" s="248" t="str">
        <f t="shared" si="13"/>
        <v/>
      </c>
      <c r="X28" s="249" t="str">
        <f t="shared" si="14"/>
        <v/>
      </c>
      <c r="Y28" s="236"/>
      <c r="Z28" s="250" t="str">
        <f t="shared" si="15"/>
        <v/>
      </c>
      <c r="AA28" s="243" t="str">
        <f t="shared" si="16"/>
        <v/>
      </c>
      <c r="AB28" s="251" t="str">
        <f t="shared" si="17"/>
        <v/>
      </c>
    </row>
    <row r="29" spans="1:28" ht="14.25">
      <c r="A29" s="148"/>
      <c r="B29" s="176"/>
      <c r="C29" s="177"/>
      <c r="D29" s="178" t="str">
        <f t="shared" si="18"/>
        <v/>
      </c>
      <c r="E29" s="179"/>
      <c r="F29" s="179"/>
      <c r="G29" s="180"/>
      <c r="H29" s="177"/>
      <c r="I29" s="181"/>
      <c r="J29" s="179"/>
      <c r="K29" s="182"/>
      <c r="L29" s="180"/>
      <c r="M29" s="183"/>
      <c r="N29" s="184"/>
      <c r="O29" s="185"/>
      <c r="P29" s="220"/>
      <c r="Q29" s="187"/>
      <c r="R29" s="228"/>
      <c r="S29" s="244" t="str">
        <f t="shared" si="9"/>
        <v/>
      </c>
      <c r="T29" s="245" t="str">
        <f t="shared" si="10"/>
        <v/>
      </c>
      <c r="U29" s="246" t="str">
        <f t="shared" si="11"/>
        <v/>
      </c>
      <c r="V29" s="247" t="str">
        <f t="shared" si="12"/>
        <v/>
      </c>
      <c r="W29" s="248" t="str">
        <f t="shared" si="13"/>
        <v/>
      </c>
      <c r="X29" s="249" t="str">
        <f t="shared" si="14"/>
        <v/>
      </c>
      <c r="Y29" s="236"/>
      <c r="Z29" s="250" t="str">
        <f t="shared" si="15"/>
        <v/>
      </c>
      <c r="AA29" s="243" t="str">
        <f t="shared" si="16"/>
        <v/>
      </c>
      <c r="AB29" s="251" t="str">
        <f t="shared" si="17"/>
        <v/>
      </c>
    </row>
    <row r="30" spans="1:28" ht="14.25" customHeight="1">
      <c r="A30" s="148"/>
      <c r="B30" s="176"/>
      <c r="C30" s="177"/>
      <c r="D30" s="178" t="str">
        <f t="shared" si="18"/>
        <v/>
      </c>
      <c r="E30" s="179"/>
      <c r="F30" s="179"/>
      <c r="G30" s="180"/>
      <c r="H30" s="177"/>
      <c r="I30" s="181"/>
      <c r="J30" s="179"/>
      <c r="K30" s="182"/>
      <c r="L30" s="180"/>
      <c r="M30" s="183"/>
      <c r="N30" s="184"/>
      <c r="O30" s="185"/>
      <c r="P30" s="220"/>
      <c r="Q30" s="187"/>
      <c r="R30" s="228"/>
      <c r="S30" s="244" t="str">
        <f t="shared" si="9"/>
        <v/>
      </c>
      <c r="T30" s="245" t="str">
        <f t="shared" si="10"/>
        <v/>
      </c>
      <c r="U30" s="246" t="str">
        <f t="shared" si="11"/>
        <v/>
      </c>
      <c r="V30" s="247" t="str">
        <f t="shared" si="12"/>
        <v/>
      </c>
      <c r="W30" s="248" t="str">
        <f t="shared" si="13"/>
        <v/>
      </c>
      <c r="X30" s="249" t="str">
        <f t="shared" si="14"/>
        <v/>
      </c>
      <c r="Y30" s="236"/>
      <c r="Z30" s="250" t="str">
        <f t="shared" si="15"/>
        <v/>
      </c>
      <c r="AA30" s="243" t="str">
        <f t="shared" si="16"/>
        <v/>
      </c>
      <c r="AB30" s="251" t="str">
        <f t="shared" si="17"/>
        <v/>
      </c>
    </row>
    <row r="31" spans="1:28" ht="15" thickBot="1">
      <c r="A31" s="148"/>
      <c r="B31" s="176"/>
      <c r="C31" s="177"/>
      <c r="D31" s="190" t="str">
        <f t="shared" si="18"/>
        <v/>
      </c>
      <c r="E31" s="191"/>
      <c r="F31" s="179"/>
      <c r="G31" s="180"/>
      <c r="H31" s="189" t="str">
        <f>IFERROR(IF(G31-$Q$2&lt;=0,"",(G31-$Q$2)*86400),"")</f>
        <v/>
      </c>
      <c r="I31" s="203" t="str">
        <f>IF($I$6="Ⅰ",V31,IF($I$6="Ⅱ",W31,IF($I$6="Ⅲ",X31,"")))</f>
        <v/>
      </c>
      <c r="J31" s="191"/>
      <c r="K31" s="205" t="str">
        <f>IFERROR(H31*(1+0.01*J31)-I31*$N$3,"")</f>
        <v/>
      </c>
      <c r="L31" s="192" t="str">
        <f>IFERROR((K31-$K$7)/86400,"")</f>
        <v/>
      </c>
      <c r="M31" s="206" t="str">
        <f>IFERROR((K31-$K$7)/$N$3,"")</f>
        <v/>
      </c>
      <c r="N31" s="207" t="str">
        <f>IFERROR($N$3/(H31/3600),"")</f>
        <v/>
      </c>
      <c r="O31" s="208" t="str">
        <f>IF($O$6="MAX=20",Z31,IF($O$6="MAX=30",AA31,IF($O$6="MAX=40",AB31,"")))</f>
        <v/>
      </c>
      <c r="P31" s="221"/>
      <c r="Q31" s="202"/>
      <c r="R31" s="228"/>
      <c r="S31" s="252" t="str">
        <f t="shared" si="9"/>
        <v/>
      </c>
      <c r="T31" s="253" t="str">
        <f t="shared" si="10"/>
        <v/>
      </c>
      <c r="U31" s="254" t="str">
        <f t="shared" si="11"/>
        <v/>
      </c>
      <c r="V31" s="255" t="str">
        <f t="shared" si="12"/>
        <v/>
      </c>
      <c r="W31" s="256" t="str">
        <f t="shared" si="13"/>
        <v/>
      </c>
      <c r="X31" s="257" t="str">
        <f t="shared" si="14"/>
        <v/>
      </c>
      <c r="Y31" s="236"/>
      <c r="Z31" s="261" t="str">
        <f t="shared" si="15"/>
        <v/>
      </c>
      <c r="AA31" s="262" t="str">
        <f t="shared" si="16"/>
        <v/>
      </c>
      <c r="AB31" s="263" t="str">
        <f t="shared" si="17"/>
        <v/>
      </c>
    </row>
    <row r="32" spans="1:28" ht="15" customHeight="1">
      <c r="A32" s="148"/>
      <c r="B32" s="442" t="s">
        <v>264</v>
      </c>
      <c r="C32" s="443"/>
      <c r="D32" s="444"/>
      <c r="E32" s="225" t="s">
        <v>184</v>
      </c>
      <c r="F32" s="451" t="s">
        <v>445</v>
      </c>
      <c r="G32" s="452"/>
      <c r="H32" s="484" t="s">
        <v>446</v>
      </c>
      <c r="I32" s="485"/>
      <c r="J32" s="485"/>
      <c r="K32" s="485"/>
      <c r="L32" s="485"/>
      <c r="M32" s="485"/>
      <c r="N32" s="485"/>
      <c r="O32" s="485"/>
      <c r="P32" s="485"/>
      <c r="Q32" s="486"/>
      <c r="R32" s="139"/>
      <c r="S32" s="231"/>
      <c r="T32" s="231"/>
      <c r="U32" s="231"/>
      <c r="X32" s="231"/>
      <c r="Y32" s="231"/>
    </row>
    <row r="33" spans="1:25" ht="15" customHeight="1">
      <c r="A33" s="148"/>
      <c r="B33" s="445"/>
      <c r="C33" s="446"/>
      <c r="D33" s="447"/>
      <c r="E33" s="226" t="s">
        <v>185</v>
      </c>
      <c r="F33" s="462" t="s">
        <v>431</v>
      </c>
      <c r="G33" s="463"/>
      <c r="H33" s="487"/>
      <c r="I33" s="488"/>
      <c r="J33" s="488"/>
      <c r="K33" s="488"/>
      <c r="L33" s="488"/>
      <c r="M33" s="488"/>
      <c r="N33" s="488"/>
      <c r="O33" s="488"/>
      <c r="P33" s="488"/>
      <c r="Q33" s="489"/>
      <c r="R33" s="139"/>
      <c r="S33" s="231"/>
      <c r="T33" s="231"/>
      <c r="U33" s="231"/>
      <c r="X33" s="231"/>
      <c r="Y33" s="231"/>
    </row>
    <row r="34" spans="1:25" ht="23.25" customHeight="1">
      <c r="A34" s="148"/>
      <c r="B34" s="448"/>
      <c r="C34" s="449"/>
      <c r="D34" s="450"/>
      <c r="E34" s="226" t="s">
        <v>186</v>
      </c>
      <c r="F34" s="462" t="s">
        <v>432</v>
      </c>
      <c r="G34" s="463"/>
      <c r="H34" s="487"/>
      <c r="I34" s="488"/>
      <c r="J34" s="488"/>
      <c r="K34" s="488"/>
      <c r="L34" s="488"/>
      <c r="M34" s="488"/>
      <c r="N34" s="488"/>
      <c r="O34" s="488"/>
      <c r="P34" s="488"/>
      <c r="Q34" s="489"/>
      <c r="R34" s="139"/>
      <c r="S34" s="231"/>
      <c r="T34" s="231"/>
      <c r="U34" s="231"/>
      <c r="X34" s="231"/>
      <c r="Y34" s="231"/>
    </row>
    <row r="35" spans="1:25" ht="22.5" customHeight="1">
      <c r="A35" s="148"/>
      <c r="B35" s="464" t="s">
        <v>265</v>
      </c>
      <c r="C35" s="465"/>
      <c r="D35" s="466"/>
      <c r="E35" s="436" t="s">
        <v>188</v>
      </c>
      <c r="F35" s="462" t="str">
        <f>参照ﾃﾞｰﾀ!AL16</f>
        <v>くろしお</v>
      </c>
      <c r="G35" s="463"/>
      <c r="H35" s="487"/>
      <c r="I35" s="488"/>
      <c r="J35" s="488"/>
      <c r="K35" s="488"/>
      <c r="L35" s="488"/>
      <c r="M35" s="488"/>
      <c r="N35" s="488"/>
      <c r="O35" s="488"/>
      <c r="P35" s="488"/>
      <c r="Q35" s="489"/>
      <c r="R35" s="139"/>
      <c r="S35" s="231"/>
      <c r="T35" s="231"/>
      <c r="U35" s="231"/>
      <c r="X35" s="231"/>
      <c r="Y35" s="231"/>
    </row>
    <row r="36" spans="1:25" ht="15" customHeight="1">
      <c r="A36" s="148"/>
      <c r="B36" s="467"/>
      <c r="C36" s="468"/>
      <c r="D36" s="469"/>
      <c r="E36" s="475"/>
      <c r="F36" s="462"/>
      <c r="G36" s="463"/>
      <c r="H36" s="487"/>
      <c r="I36" s="488"/>
      <c r="J36" s="488"/>
      <c r="K36" s="488"/>
      <c r="L36" s="488"/>
      <c r="M36" s="488"/>
      <c r="N36" s="488"/>
      <c r="O36" s="488"/>
      <c r="P36" s="488"/>
      <c r="Q36" s="489"/>
      <c r="R36" s="139"/>
      <c r="S36" s="231"/>
      <c r="T36" s="231"/>
      <c r="U36" s="231"/>
      <c r="X36" s="231"/>
      <c r="Y36" s="231"/>
    </row>
    <row r="37" spans="1:25" ht="15" customHeight="1">
      <c r="A37" s="148"/>
      <c r="B37" s="467"/>
      <c r="C37" s="468"/>
      <c r="D37" s="469"/>
      <c r="E37" s="225" t="s">
        <v>187</v>
      </c>
      <c r="F37" s="476"/>
      <c r="G37" s="452"/>
      <c r="H37" s="487"/>
      <c r="I37" s="488"/>
      <c r="J37" s="488"/>
      <c r="K37" s="488"/>
      <c r="L37" s="488"/>
      <c r="M37" s="488"/>
      <c r="N37" s="488"/>
      <c r="O37" s="488"/>
      <c r="P37" s="488"/>
      <c r="Q37" s="489"/>
      <c r="R37" s="139"/>
      <c r="S37" s="231"/>
      <c r="T37" s="231"/>
      <c r="U37" s="231"/>
      <c r="X37" s="231"/>
      <c r="Y37" s="231"/>
    </row>
    <row r="38" spans="1:25" ht="15" customHeight="1">
      <c r="A38" s="148"/>
      <c r="B38" s="467"/>
      <c r="C38" s="468"/>
      <c r="D38" s="469"/>
      <c r="E38" s="226" t="s">
        <v>200</v>
      </c>
      <c r="F38" s="462" t="s">
        <v>426</v>
      </c>
      <c r="G38" s="463"/>
      <c r="H38" s="487"/>
      <c r="I38" s="488"/>
      <c r="J38" s="488"/>
      <c r="K38" s="488"/>
      <c r="L38" s="488"/>
      <c r="M38" s="488"/>
      <c r="N38" s="488"/>
      <c r="O38" s="488"/>
      <c r="P38" s="488"/>
      <c r="Q38" s="489"/>
      <c r="R38" s="139"/>
      <c r="S38" s="231"/>
      <c r="T38" s="231"/>
      <c r="U38" s="231"/>
      <c r="X38" s="231"/>
      <c r="Y38" s="231"/>
    </row>
    <row r="39" spans="1:25" ht="15" customHeight="1">
      <c r="A39" s="148"/>
      <c r="B39" s="467"/>
      <c r="C39" s="468"/>
      <c r="D39" s="469"/>
      <c r="E39" s="436" t="s">
        <v>188</v>
      </c>
      <c r="F39" s="462" t="s">
        <v>439</v>
      </c>
      <c r="G39" s="463"/>
      <c r="H39" s="487"/>
      <c r="I39" s="488"/>
      <c r="J39" s="488"/>
      <c r="K39" s="488"/>
      <c r="L39" s="488"/>
      <c r="M39" s="488"/>
      <c r="N39" s="488"/>
      <c r="O39" s="488"/>
      <c r="P39" s="488"/>
      <c r="Q39" s="489"/>
      <c r="R39" s="139"/>
      <c r="S39" s="231"/>
      <c r="T39" s="231"/>
      <c r="U39" s="231"/>
      <c r="X39" s="231"/>
      <c r="Y39" s="231"/>
    </row>
    <row r="40" spans="1:25" ht="15" customHeight="1">
      <c r="A40" s="148"/>
      <c r="B40" s="467"/>
      <c r="C40" s="468"/>
      <c r="D40" s="469"/>
      <c r="E40" s="436"/>
      <c r="F40" s="462"/>
      <c r="G40" s="463"/>
      <c r="H40" s="487"/>
      <c r="I40" s="488"/>
      <c r="J40" s="488"/>
      <c r="K40" s="488"/>
      <c r="L40" s="488"/>
      <c r="M40" s="488"/>
      <c r="N40" s="488"/>
      <c r="O40" s="488"/>
      <c r="P40" s="488"/>
      <c r="Q40" s="489"/>
      <c r="R40" s="139"/>
      <c r="S40" s="231"/>
      <c r="T40" s="231"/>
      <c r="U40" s="231"/>
      <c r="X40" s="231"/>
      <c r="Y40" s="231"/>
    </row>
    <row r="41" spans="1:25" ht="11.25" customHeight="1" thickBot="1">
      <c r="A41" s="148"/>
      <c r="B41" s="470"/>
      <c r="C41" s="471"/>
      <c r="D41" s="472"/>
      <c r="E41" s="227"/>
      <c r="F41" s="473"/>
      <c r="G41" s="474"/>
      <c r="H41" s="490"/>
      <c r="I41" s="491"/>
      <c r="J41" s="491"/>
      <c r="K41" s="491"/>
      <c r="L41" s="491"/>
      <c r="M41" s="491"/>
      <c r="N41" s="491"/>
      <c r="O41" s="491"/>
      <c r="P41" s="491"/>
      <c r="Q41" s="492"/>
      <c r="R41" s="139"/>
      <c r="S41" s="231"/>
      <c r="T41" s="231"/>
      <c r="U41" s="231"/>
      <c r="V41" s="231"/>
      <c r="W41" s="231"/>
      <c r="X41" s="231"/>
      <c r="Y41" s="231"/>
    </row>
    <row r="42" spans="1:25">
      <c r="A42" s="148"/>
      <c r="B42" s="148"/>
      <c r="C42" s="148"/>
      <c r="D42" s="148"/>
      <c r="E42" s="148"/>
      <c r="F42" s="148"/>
      <c r="G42" s="148"/>
      <c r="H42" s="148"/>
      <c r="I42" s="148"/>
      <c r="J42" s="148"/>
      <c r="K42" s="148"/>
      <c r="L42" s="148"/>
      <c r="M42" s="148"/>
      <c r="N42" s="148"/>
      <c r="O42" s="148"/>
      <c r="P42" s="148"/>
      <c r="Q42" s="148"/>
      <c r="R42" s="148"/>
    </row>
  </sheetData>
  <sheetProtection algorithmName="SHA-512" hashValue="UrnjOyaHMjLUGQ0tJax831SqJpV/+qFi8Ghl6AXzHNh9IOcLKosRZBqOAGmWP4WbBwlmwh9KAHz2wUE2CpusOQ==" saltValue="XA6fWuGsIexNJhdVnOqR6A==" spinCount="100000" sheet="1" objects="1" scenarios="1"/>
  <sortState ref="C7:K23">
    <sortCondition ref="K7:K23"/>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4"/>
  <dataValidations count="8">
    <dataValidation type="list" allowBlank="1" showInputMessage="1" showErrorMessage="1" sqref="P2 F37:G37">
      <formula1>開催日</formula1>
    </dataValidation>
    <dataValidation type="list" allowBlank="1" showInputMessage="1" showErrorMessage="1" sqref="Q2">
      <formula1>時刻</formula1>
    </dataValidation>
    <dataValidation type="list" allowBlank="1" showInputMessage="1" showErrorMessage="1" sqref="J3:K3">
      <formula1>暫定</formula1>
    </dataValidation>
    <dataValidation type="list" allowBlank="1" showInputMessage="1" showErrorMessage="1" sqref="G2">
      <formula1>月</formula1>
    </dataValidation>
    <dataValidation type="list" allowBlank="1" showInputMessage="1" showErrorMessage="1" sqref="N2 F38:G38">
      <formula1>コース</formula1>
    </dataValidation>
    <dataValidation type="list" showInputMessage="1" showErrorMessage="1" sqref="E3">
      <formula1>レース名</formula1>
    </dataValidation>
    <dataValidation type="list" allowBlank="1" showInputMessage="1" showErrorMessage="1" sqref="I6">
      <formula1>ＴＡ</formula1>
    </dataValidation>
    <dataValidation type="list" allowBlank="1" showInputMessage="1" showErrorMessage="1" sqref="D3">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9"/>
  <sheetViews>
    <sheetView view="pageBreakPreview" zoomScale="85" zoomScaleNormal="100" zoomScaleSheetLayoutView="85" workbookViewId="0">
      <selection activeCell="K20" sqref="K20"/>
    </sheetView>
  </sheetViews>
  <sheetFormatPr defaultRowHeight="13.5"/>
  <cols>
    <col min="1" max="1" width="3" style="230" customWidth="1"/>
    <col min="2" max="2" width="4.25" style="230" customWidth="1"/>
    <col min="3" max="3" width="7.25" style="230" customWidth="1"/>
    <col min="4" max="4" width="16.25" style="230" customWidth="1"/>
    <col min="5" max="10" width="7.875" style="230" customWidth="1"/>
    <col min="11" max="11" width="7.5" style="230" customWidth="1"/>
    <col min="12" max="13" width="3.125" style="230" customWidth="1"/>
    <col min="14" max="14" width="7.75" style="230" customWidth="1"/>
    <col min="15" max="15" width="12.625" style="230" customWidth="1"/>
    <col min="16" max="16" width="6.625" style="230" customWidth="1"/>
    <col min="17" max="17" width="7.375" style="230" customWidth="1"/>
    <col min="18" max="18" width="15.5" style="230" customWidth="1"/>
    <col min="19" max="20" width="9" style="230"/>
    <col min="21" max="21" width="16.375" style="230" customWidth="1"/>
    <col min="22" max="23" width="9" style="230"/>
    <col min="24" max="24" width="3" style="230" customWidth="1"/>
    <col min="25" max="25" width="4.25" style="230" customWidth="1"/>
    <col min="26" max="26" width="7.25" style="230" customWidth="1"/>
    <col min="27" max="27" width="16.25" style="230" customWidth="1"/>
    <col min="28" max="33" width="7.875" style="230" customWidth="1"/>
    <col min="34" max="34" width="7.5" style="230" customWidth="1"/>
    <col min="35" max="36" width="3.125" style="230" customWidth="1"/>
    <col min="37" max="37" width="7.75" style="230" customWidth="1"/>
    <col min="38" max="16384" width="9" style="230"/>
  </cols>
  <sheetData>
    <row r="1" spans="2:37" s="240" customFormat="1" ht="19.5" customHeight="1">
      <c r="B1" s="499" t="s">
        <v>447</v>
      </c>
      <c r="C1" s="499"/>
      <c r="D1" s="499"/>
      <c r="E1" s="499"/>
      <c r="F1" s="499"/>
      <c r="G1" s="499"/>
      <c r="H1" s="499"/>
      <c r="I1" s="499"/>
      <c r="J1" s="499"/>
      <c r="K1" s="499"/>
      <c r="L1" s="499"/>
      <c r="M1" s="499"/>
      <c r="N1" s="282"/>
      <c r="O1" s="283"/>
      <c r="Y1" s="499" t="s">
        <v>293</v>
      </c>
      <c r="Z1" s="499"/>
      <c r="AA1" s="499"/>
      <c r="AB1" s="499"/>
      <c r="AC1" s="499"/>
      <c r="AD1" s="499"/>
      <c r="AE1" s="499"/>
      <c r="AF1" s="499"/>
      <c r="AG1" s="499"/>
      <c r="AH1" s="499"/>
      <c r="AI1" s="499"/>
      <c r="AJ1" s="499"/>
      <c r="AK1" s="282"/>
    </row>
    <row r="2" spans="2:37" s="286" customFormat="1" ht="23.25" customHeight="1">
      <c r="B2" s="500" t="s">
        <v>206</v>
      </c>
      <c r="C2" s="500"/>
      <c r="D2" s="500"/>
      <c r="E2" s="500"/>
      <c r="F2" s="500"/>
      <c r="G2" s="500"/>
      <c r="H2" s="500"/>
      <c r="I2" s="500"/>
      <c r="J2" s="500"/>
      <c r="K2" s="500"/>
      <c r="L2" s="500"/>
      <c r="M2" s="500"/>
      <c r="N2" s="284"/>
      <c r="O2" s="285"/>
      <c r="P2" s="500" t="s">
        <v>270</v>
      </c>
      <c r="Q2" s="500"/>
      <c r="R2" s="500"/>
      <c r="S2" s="500"/>
      <c r="T2" s="500"/>
      <c r="U2" s="500"/>
      <c r="V2" s="285"/>
      <c r="W2" s="285"/>
      <c r="Y2" s="500" t="s">
        <v>206</v>
      </c>
      <c r="Z2" s="500"/>
      <c r="AA2" s="500"/>
      <c r="AB2" s="500"/>
      <c r="AC2" s="500"/>
      <c r="AD2" s="500"/>
      <c r="AE2" s="500"/>
      <c r="AF2" s="500"/>
      <c r="AG2" s="500"/>
      <c r="AH2" s="500"/>
      <c r="AI2" s="500"/>
      <c r="AJ2" s="500"/>
      <c r="AK2" s="284"/>
    </row>
    <row r="3" spans="2:37" s="240" customFormat="1" ht="21" customHeight="1" thickBot="1">
      <c r="C3" s="236"/>
      <c r="J3" s="501" t="s">
        <v>430</v>
      </c>
      <c r="K3" s="501"/>
      <c r="L3" s="501"/>
      <c r="M3" s="501"/>
      <c r="N3" s="287"/>
      <c r="O3" s="288"/>
      <c r="P3" s="289"/>
      <c r="Z3" s="236"/>
      <c r="AG3" s="501" t="s">
        <v>294</v>
      </c>
      <c r="AH3" s="501"/>
      <c r="AI3" s="501"/>
      <c r="AJ3" s="501"/>
      <c r="AK3" s="287"/>
    </row>
    <row r="4" spans="2:37" s="240" customFormat="1" ht="13.5" customHeight="1">
      <c r="B4" s="520" t="s">
        <v>3</v>
      </c>
      <c r="C4" s="522" t="s">
        <v>89</v>
      </c>
      <c r="D4" s="524" t="s">
        <v>90</v>
      </c>
      <c r="E4" s="290" t="s">
        <v>245</v>
      </c>
      <c r="F4" s="290" t="s">
        <v>246</v>
      </c>
      <c r="G4" s="290" t="s">
        <v>248</v>
      </c>
      <c r="H4" s="290" t="s">
        <v>249</v>
      </c>
      <c r="I4" s="290" t="s">
        <v>250</v>
      </c>
      <c r="J4" s="290" t="s">
        <v>273</v>
      </c>
      <c r="K4" s="526" t="s">
        <v>91</v>
      </c>
      <c r="L4" s="528" t="s">
        <v>92</v>
      </c>
      <c r="M4" s="530" t="s">
        <v>93</v>
      </c>
      <c r="N4" s="291" t="s">
        <v>247</v>
      </c>
      <c r="O4" s="288"/>
      <c r="P4" s="292"/>
      <c r="Q4" s="293" t="s">
        <v>295</v>
      </c>
      <c r="R4" s="292"/>
      <c r="S4" s="292"/>
      <c r="Y4" s="502" t="s">
        <v>3</v>
      </c>
      <c r="Z4" s="505" t="s">
        <v>89</v>
      </c>
      <c r="AA4" s="508" t="s">
        <v>90</v>
      </c>
      <c r="AB4" s="290" t="s">
        <v>239</v>
      </c>
      <c r="AC4" s="290" t="s">
        <v>240</v>
      </c>
      <c r="AD4" s="290" t="s">
        <v>241</v>
      </c>
      <c r="AE4" s="290" t="s">
        <v>242</v>
      </c>
      <c r="AF4" s="290" t="s">
        <v>243</v>
      </c>
      <c r="AG4" s="290" t="s">
        <v>244</v>
      </c>
      <c r="AH4" s="511" t="s">
        <v>91</v>
      </c>
      <c r="AI4" s="514" t="s">
        <v>213</v>
      </c>
      <c r="AJ4" s="517" t="s">
        <v>214</v>
      </c>
      <c r="AK4" s="294" t="s">
        <v>167</v>
      </c>
    </row>
    <row r="5" spans="2:37" s="240" customFormat="1" ht="13.5" customHeight="1">
      <c r="B5" s="521"/>
      <c r="C5" s="523"/>
      <c r="D5" s="525"/>
      <c r="E5" s="295">
        <v>43667</v>
      </c>
      <c r="F5" s="295">
        <v>43695</v>
      </c>
      <c r="G5" s="295">
        <v>43723</v>
      </c>
      <c r="H5" s="295">
        <v>43758</v>
      </c>
      <c r="I5" s="295">
        <v>43786</v>
      </c>
      <c r="J5" s="295">
        <v>43814</v>
      </c>
      <c r="K5" s="527"/>
      <c r="L5" s="529"/>
      <c r="M5" s="531"/>
      <c r="N5" s="296">
        <v>43709</v>
      </c>
      <c r="O5" s="288"/>
      <c r="P5" s="292"/>
      <c r="Q5" s="292"/>
      <c r="R5" s="292"/>
      <c r="S5" s="292" t="s">
        <v>163</v>
      </c>
      <c r="T5" s="240" t="s">
        <v>164</v>
      </c>
      <c r="Y5" s="503"/>
      <c r="Z5" s="506"/>
      <c r="AA5" s="509"/>
      <c r="AB5" s="295">
        <v>42750</v>
      </c>
      <c r="AC5" s="295">
        <v>42787</v>
      </c>
      <c r="AD5" s="295">
        <v>42813</v>
      </c>
      <c r="AE5" s="295">
        <v>42841</v>
      </c>
      <c r="AF5" s="295">
        <v>42876</v>
      </c>
      <c r="AG5" s="295">
        <v>42904</v>
      </c>
      <c r="AH5" s="512"/>
      <c r="AI5" s="515"/>
      <c r="AJ5" s="518"/>
      <c r="AK5" s="297">
        <v>42617</v>
      </c>
    </row>
    <row r="6" spans="2:37" s="304" customFormat="1" ht="28.5">
      <c r="B6" s="521"/>
      <c r="C6" s="523"/>
      <c r="D6" s="525"/>
      <c r="E6" s="298" t="s">
        <v>352</v>
      </c>
      <c r="F6" s="298" t="s">
        <v>74</v>
      </c>
      <c r="G6" s="298" t="s">
        <v>297</v>
      </c>
      <c r="H6" s="298" t="s">
        <v>292</v>
      </c>
      <c r="I6" s="298" t="s">
        <v>235</v>
      </c>
      <c r="J6" s="298" t="s">
        <v>74</v>
      </c>
      <c r="K6" s="527"/>
      <c r="L6" s="529"/>
      <c r="M6" s="531"/>
      <c r="N6" s="299" t="s">
        <v>363</v>
      </c>
      <c r="O6" s="300"/>
      <c r="P6" s="301" t="s">
        <v>3</v>
      </c>
      <c r="Q6" s="302" t="s">
        <v>89</v>
      </c>
      <c r="R6" s="303" t="s">
        <v>90</v>
      </c>
      <c r="S6" s="303" t="s">
        <v>91</v>
      </c>
      <c r="T6" s="303" t="s">
        <v>165</v>
      </c>
      <c r="U6" s="303" t="s">
        <v>166</v>
      </c>
      <c r="Y6" s="504"/>
      <c r="Z6" s="507"/>
      <c r="AA6" s="510"/>
      <c r="AB6" s="298" t="s">
        <v>216</v>
      </c>
      <c r="AC6" s="298" t="s">
        <v>74</v>
      </c>
      <c r="AD6" s="298" t="s">
        <v>74</v>
      </c>
      <c r="AE6" s="298" t="s">
        <v>74</v>
      </c>
      <c r="AF6" s="298" t="s">
        <v>47</v>
      </c>
      <c r="AG6" s="298" t="s">
        <v>74</v>
      </c>
      <c r="AH6" s="513"/>
      <c r="AI6" s="516"/>
      <c r="AJ6" s="519"/>
      <c r="AK6" s="305" t="s">
        <v>147</v>
      </c>
    </row>
    <row r="7" spans="2:37" s="240" customFormat="1" ht="14.25">
      <c r="B7" s="306" t="s">
        <v>122</v>
      </c>
      <c r="C7" s="166">
        <v>5752</v>
      </c>
      <c r="D7" s="272" t="str">
        <f t="shared" ref="D7:D28" si="0">IF(ISBLANK(C7),"",VLOOKUP(C7,各艇データ,2,FALSE))</f>
        <v>アルファ</v>
      </c>
      <c r="E7" s="307">
        <v>22.5</v>
      </c>
      <c r="F7" s="307">
        <v>27.7</v>
      </c>
      <c r="G7" s="307">
        <v>30</v>
      </c>
      <c r="H7" s="307">
        <v>20</v>
      </c>
      <c r="I7" s="307">
        <v>15.4</v>
      </c>
      <c r="J7" s="307">
        <v>20</v>
      </c>
      <c r="K7" s="309">
        <f t="shared" ref="K7:K28" si="1">SUM(E7:J7)</f>
        <v>135.60000000000002</v>
      </c>
      <c r="L7" s="310" t="s">
        <v>428</v>
      </c>
      <c r="M7" s="310" t="s">
        <v>429</v>
      </c>
      <c r="N7" s="311"/>
      <c r="O7" s="312"/>
      <c r="P7" s="313" t="s">
        <v>94</v>
      </c>
      <c r="Q7" s="271"/>
      <c r="R7" s="272"/>
      <c r="S7" s="314"/>
      <c r="T7" s="314"/>
      <c r="U7" s="314">
        <f t="shared" ref="U7:U33" si="2">SUM(S7:T7)</f>
        <v>0</v>
      </c>
      <c r="Y7" s="306" t="s">
        <v>94</v>
      </c>
      <c r="Z7" s="271">
        <v>150</v>
      </c>
      <c r="AA7" s="272" t="s">
        <v>209</v>
      </c>
      <c r="AB7" s="307">
        <v>18.8</v>
      </c>
      <c r="AC7" s="307">
        <v>16.5</v>
      </c>
      <c r="AD7" s="308">
        <v>27.9</v>
      </c>
      <c r="AE7" s="308">
        <v>20</v>
      </c>
      <c r="AF7" s="308">
        <v>36.700000000000003</v>
      </c>
      <c r="AG7" s="307"/>
      <c r="AH7" s="309">
        <v>119.89999999999999</v>
      </c>
      <c r="AI7" s="310"/>
      <c r="AJ7" s="310"/>
      <c r="AK7" s="311"/>
    </row>
    <row r="8" spans="2:37" s="240" customFormat="1" ht="14.25">
      <c r="B8" s="315" t="s">
        <v>95</v>
      </c>
      <c r="C8" s="177">
        <v>150</v>
      </c>
      <c r="D8" s="274" t="str">
        <f t="shared" si="0"/>
        <v>SHARK X</v>
      </c>
      <c r="E8" s="316">
        <v>25</v>
      </c>
      <c r="F8" s="316">
        <v>30</v>
      </c>
      <c r="G8" s="316">
        <v>27</v>
      </c>
      <c r="H8" s="316">
        <v>18.2</v>
      </c>
      <c r="I8" s="316">
        <v>20</v>
      </c>
      <c r="J8" s="316">
        <v>14.1</v>
      </c>
      <c r="K8" s="317">
        <f t="shared" si="1"/>
        <v>134.30000000000001</v>
      </c>
      <c r="L8" s="318" t="s">
        <v>428</v>
      </c>
      <c r="M8" s="318" t="s">
        <v>429</v>
      </c>
      <c r="N8" s="319"/>
      <c r="O8" s="320"/>
      <c r="P8" s="321" t="s">
        <v>95</v>
      </c>
      <c r="Q8" s="273"/>
      <c r="R8" s="274"/>
      <c r="S8" s="314"/>
      <c r="T8" s="314"/>
      <c r="U8" s="314">
        <f t="shared" si="2"/>
        <v>0</v>
      </c>
      <c r="Y8" s="315" t="s">
        <v>95</v>
      </c>
      <c r="Z8" s="273">
        <v>5752</v>
      </c>
      <c r="AA8" s="274" t="s">
        <v>44</v>
      </c>
      <c r="AB8" s="316">
        <v>17.5</v>
      </c>
      <c r="AC8" s="316">
        <v>18.8</v>
      </c>
      <c r="AD8" s="316">
        <v>23.6</v>
      </c>
      <c r="AE8" s="322">
        <v>18.600000000000001</v>
      </c>
      <c r="AF8" s="316">
        <v>40</v>
      </c>
      <c r="AG8" s="316"/>
      <c r="AH8" s="317">
        <v>118.5</v>
      </c>
      <c r="AI8" s="318"/>
      <c r="AJ8" s="318"/>
      <c r="AK8" s="319"/>
    </row>
    <row r="9" spans="2:37" s="240" customFormat="1" ht="14.25">
      <c r="B9" s="315" t="s">
        <v>96</v>
      </c>
      <c r="C9" s="177">
        <v>1611</v>
      </c>
      <c r="D9" s="274" t="str">
        <f t="shared" si="0"/>
        <v>ﾈﾌﾟﾁｭｰﾝXⅡ</v>
      </c>
      <c r="E9" s="316">
        <v>27.5</v>
      </c>
      <c r="F9" s="316">
        <v>16.2</v>
      </c>
      <c r="G9" s="316">
        <v>24</v>
      </c>
      <c r="H9" s="316">
        <v>1</v>
      </c>
      <c r="I9" s="316">
        <v>13.8</v>
      </c>
      <c r="J9" s="316">
        <v>15.3</v>
      </c>
      <c r="K9" s="317">
        <f t="shared" si="1"/>
        <v>97.8</v>
      </c>
      <c r="L9" s="318" t="s">
        <v>428</v>
      </c>
      <c r="M9" s="318" t="s">
        <v>429</v>
      </c>
      <c r="N9" s="319"/>
      <c r="O9" s="312"/>
      <c r="P9" s="321" t="s">
        <v>96</v>
      </c>
      <c r="Q9" s="273"/>
      <c r="R9" s="274"/>
      <c r="S9" s="314"/>
      <c r="T9" s="314"/>
      <c r="U9" s="314">
        <f t="shared" si="2"/>
        <v>0</v>
      </c>
      <c r="Y9" s="315" t="s">
        <v>96</v>
      </c>
      <c r="Z9" s="273">
        <v>321</v>
      </c>
      <c r="AA9" s="274" t="s">
        <v>29</v>
      </c>
      <c r="AB9" s="324">
        <v>16.3</v>
      </c>
      <c r="AC9" s="316">
        <v>9.4</v>
      </c>
      <c r="AD9" s="325">
        <v>19.3</v>
      </c>
      <c r="AE9" s="317">
        <v>11.4</v>
      </c>
      <c r="AF9" s="324">
        <v>33.299999999999997</v>
      </c>
      <c r="AG9" s="316"/>
      <c r="AH9" s="317">
        <v>89.699999999999989</v>
      </c>
      <c r="AI9" s="318"/>
      <c r="AJ9" s="318"/>
      <c r="AK9" s="319"/>
    </row>
    <row r="10" spans="2:37" s="240" customFormat="1" ht="14.25">
      <c r="B10" s="315" t="s">
        <v>97</v>
      </c>
      <c r="C10" s="177">
        <v>312</v>
      </c>
      <c r="D10" s="274" t="str">
        <f t="shared" si="0"/>
        <v>はやとり</v>
      </c>
      <c r="E10" s="316">
        <v>30</v>
      </c>
      <c r="F10" s="316">
        <v>23.1</v>
      </c>
      <c r="G10" s="316">
        <v>21</v>
      </c>
      <c r="H10" s="316">
        <v>3.6</v>
      </c>
      <c r="I10" s="316">
        <v>9.1999999999999993</v>
      </c>
      <c r="J10" s="316">
        <v>4.7</v>
      </c>
      <c r="K10" s="317">
        <f t="shared" si="1"/>
        <v>91.6</v>
      </c>
      <c r="L10" s="318" t="s">
        <v>428</v>
      </c>
      <c r="M10" s="318" t="s">
        <v>429</v>
      </c>
      <c r="N10" s="319"/>
      <c r="O10" s="312"/>
      <c r="P10" s="321" t="s">
        <v>97</v>
      </c>
      <c r="Q10" s="273"/>
      <c r="R10" s="274"/>
      <c r="S10" s="314"/>
      <c r="T10" s="314"/>
      <c r="U10" s="314">
        <f t="shared" si="2"/>
        <v>0</v>
      </c>
      <c r="Y10" s="315" t="s">
        <v>97</v>
      </c>
      <c r="Z10" s="273">
        <v>6732</v>
      </c>
      <c r="AA10" s="274" t="s">
        <v>40</v>
      </c>
      <c r="AB10" s="316">
        <v>7.5</v>
      </c>
      <c r="AC10" s="316">
        <v>17.600000000000001</v>
      </c>
      <c r="AD10" s="316">
        <v>21.4</v>
      </c>
      <c r="AE10" s="316">
        <v>14.3</v>
      </c>
      <c r="AF10" s="316">
        <v>20</v>
      </c>
      <c r="AG10" s="316"/>
      <c r="AH10" s="317">
        <v>80.8</v>
      </c>
      <c r="AI10" s="318"/>
      <c r="AJ10" s="318"/>
      <c r="AK10" s="319"/>
    </row>
    <row r="11" spans="2:37" s="240" customFormat="1" ht="14.25">
      <c r="B11" s="326" t="s">
        <v>123</v>
      </c>
      <c r="C11" s="189">
        <v>321</v>
      </c>
      <c r="D11" s="274" t="str">
        <f t="shared" si="0"/>
        <v>かまくら</v>
      </c>
      <c r="E11" s="335">
        <v>20</v>
      </c>
      <c r="F11" s="328">
        <v>18.5</v>
      </c>
      <c r="G11" s="328">
        <v>12</v>
      </c>
      <c r="H11" s="328">
        <v>12.7</v>
      </c>
      <c r="I11" s="328">
        <v>16.899999999999999</v>
      </c>
      <c r="J11" s="328">
        <v>5.9</v>
      </c>
      <c r="K11" s="330">
        <f t="shared" si="1"/>
        <v>86</v>
      </c>
      <c r="L11" s="331" t="s">
        <v>428</v>
      </c>
      <c r="M11" s="331" t="s">
        <v>429</v>
      </c>
      <c r="N11" s="332"/>
      <c r="O11" s="312"/>
      <c r="P11" s="333" t="s">
        <v>98</v>
      </c>
      <c r="Q11" s="275"/>
      <c r="R11" s="327"/>
      <c r="S11" s="334"/>
      <c r="T11" s="334"/>
      <c r="U11" s="334">
        <f t="shared" si="2"/>
        <v>0</v>
      </c>
      <c r="Y11" s="326" t="s">
        <v>98</v>
      </c>
      <c r="Z11" s="275">
        <v>1733</v>
      </c>
      <c r="AA11" s="327" t="s">
        <v>144</v>
      </c>
      <c r="AB11" s="335">
        <v>13.8</v>
      </c>
      <c r="AC11" s="328">
        <v>10.6</v>
      </c>
      <c r="AD11" s="336">
        <v>10.7</v>
      </c>
      <c r="AE11" s="328">
        <v>15.7</v>
      </c>
      <c r="AF11" s="328">
        <v>26.7</v>
      </c>
      <c r="AG11" s="328"/>
      <c r="AH11" s="330">
        <v>77.5</v>
      </c>
      <c r="AI11" s="331"/>
      <c r="AJ11" s="331"/>
      <c r="AK11" s="332"/>
    </row>
    <row r="12" spans="2:37" s="240" customFormat="1" ht="14.25">
      <c r="B12" s="306" t="s">
        <v>99</v>
      </c>
      <c r="C12" s="166">
        <v>1733</v>
      </c>
      <c r="D12" s="272" t="str">
        <f t="shared" si="0"/>
        <v>ケロニア</v>
      </c>
      <c r="E12" s="307">
        <v>12.5</v>
      </c>
      <c r="F12" s="307">
        <v>13.8</v>
      </c>
      <c r="G12" s="307"/>
      <c r="H12" s="307">
        <v>14.5</v>
      </c>
      <c r="I12" s="307">
        <v>12.3</v>
      </c>
      <c r="J12" s="307">
        <v>17.600000000000001</v>
      </c>
      <c r="K12" s="338">
        <f t="shared" si="1"/>
        <v>70.699999999999989</v>
      </c>
      <c r="L12" s="310"/>
      <c r="M12" s="339" t="s">
        <v>429</v>
      </c>
      <c r="N12" s="340"/>
      <c r="O12" s="312"/>
      <c r="P12" s="313" t="s">
        <v>99</v>
      </c>
      <c r="Q12" s="271"/>
      <c r="R12" s="272"/>
      <c r="S12" s="341"/>
      <c r="T12" s="341"/>
      <c r="U12" s="341">
        <f t="shared" si="2"/>
        <v>0</v>
      </c>
      <c r="Y12" s="306" t="s">
        <v>99</v>
      </c>
      <c r="Z12" s="271">
        <v>1611</v>
      </c>
      <c r="AA12" s="272" t="s">
        <v>262</v>
      </c>
      <c r="AB12" s="307">
        <v>1</v>
      </c>
      <c r="AC12" s="307">
        <v>14.1</v>
      </c>
      <c r="AD12" s="342">
        <v>15</v>
      </c>
      <c r="AE12" s="307">
        <v>17.100000000000001</v>
      </c>
      <c r="AF12" s="307">
        <v>23.3</v>
      </c>
      <c r="AG12" s="307"/>
      <c r="AH12" s="338">
        <v>70.5</v>
      </c>
      <c r="AI12" s="339"/>
      <c r="AJ12" s="339"/>
      <c r="AK12" s="340"/>
    </row>
    <row r="13" spans="2:37" s="240" customFormat="1" ht="14.25">
      <c r="B13" s="315" t="s">
        <v>100</v>
      </c>
      <c r="C13" s="177">
        <v>6793</v>
      </c>
      <c r="D13" s="274" t="str">
        <f t="shared" si="0"/>
        <v>Miss Nippon Ⅷ</v>
      </c>
      <c r="E13" s="324"/>
      <c r="F13" s="344">
        <v>25.4</v>
      </c>
      <c r="G13" s="316"/>
      <c r="H13" s="316"/>
      <c r="I13" s="316">
        <v>18.5</v>
      </c>
      <c r="J13" s="316">
        <v>18.8</v>
      </c>
      <c r="K13" s="317">
        <f t="shared" si="1"/>
        <v>62.7</v>
      </c>
      <c r="L13" s="318"/>
      <c r="M13" s="343" t="s">
        <v>429</v>
      </c>
      <c r="N13" s="319"/>
      <c r="O13" s="312"/>
      <c r="P13" s="321" t="s">
        <v>100</v>
      </c>
      <c r="Q13" s="273"/>
      <c r="R13" s="274"/>
      <c r="S13" s="314"/>
      <c r="T13" s="314"/>
      <c r="U13" s="314">
        <f t="shared" si="2"/>
        <v>0</v>
      </c>
      <c r="Y13" s="315" t="s">
        <v>100</v>
      </c>
      <c r="Z13" s="273">
        <v>380</v>
      </c>
      <c r="AA13" s="274" t="s">
        <v>150</v>
      </c>
      <c r="AB13" s="316">
        <v>11.3</v>
      </c>
      <c r="AC13" s="316">
        <v>1</v>
      </c>
      <c r="AD13" s="322">
        <v>25.7</v>
      </c>
      <c r="AE13" s="316">
        <v>12.9</v>
      </c>
      <c r="AF13" s="323">
        <v>16.7</v>
      </c>
      <c r="AG13" s="316"/>
      <c r="AH13" s="317">
        <v>67.599999999999994</v>
      </c>
      <c r="AI13" s="318"/>
      <c r="AJ13" s="343"/>
      <c r="AK13" s="319"/>
    </row>
    <row r="14" spans="2:37" s="240" customFormat="1" ht="14.25">
      <c r="B14" s="315" t="s">
        <v>101</v>
      </c>
      <c r="C14" s="177">
        <v>6732</v>
      </c>
      <c r="D14" s="274" t="str">
        <f t="shared" si="0"/>
        <v>アイデアル</v>
      </c>
      <c r="E14" s="316">
        <v>17.5</v>
      </c>
      <c r="F14" s="316">
        <v>11.5</v>
      </c>
      <c r="G14" s="316">
        <v>9</v>
      </c>
      <c r="H14" s="316">
        <v>10.9</v>
      </c>
      <c r="I14" s="316">
        <v>10.8</v>
      </c>
      <c r="J14" s="316">
        <v>2.4</v>
      </c>
      <c r="K14" s="317">
        <f t="shared" si="1"/>
        <v>62.1</v>
      </c>
      <c r="L14" s="343" t="s">
        <v>429</v>
      </c>
      <c r="M14" s="343" t="s">
        <v>429</v>
      </c>
      <c r="N14" s="319"/>
      <c r="O14" s="312"/>
      <c r="P14" s="321" t="s">
        <v>101</v>
      </c>
      <c r="Q14" s="273"/>
      <c r="R14" s="274"/>
      <c r="S14" s="314"/>
      <c r="T14" s="314"/>
      <c r="U14" s="314">
        <f t="shared" si="2"/>
        <v>0</v>
      </c>
      <c r="Y14" s="315" t="s">
        <v>101</v>
      </c>
      <c r="Z14" s="273">
        <v>6735</v>
      </c>
      <c r="AA14" s="274" t="s">
        <v>261</v>
      </c>
      <c r="AB14" s="316">
        <v>15</v>
      </c>
      <c r="AC14" s="316">
        <v>11.8</v>
      </c>
      <c r="AD14" s="322">
        <v>30</v>
      </c>
      <c r="AE14" s="316"/>
      <c r="AF14" s="316"/>
      <c r="AG14" s="316"/>
      <c r="AH14" s="317">
        <v>56.8</v>
      </c>
      <c r="AI14" s="339"/>
      <c r="AJ14" s="343"/>
      <c r="AK14" s="319"/>
    </row>
    <row r="15" spans="2:37" s="240" customFormat="1" ht="14.25">
      <c r="B15" s="315" t="s">
        <v>102</v>
      </c>
      <c r="C15" s="273">
        <v>131</v>
      </c>
      <c r="D15" s="274" t="str">
        <f t="shared" si="0"/>
        <v>ふるたか</v>
      </c>
      <c r="E15" s="316">
        <v>2.5</v>
      </c>
      <c r="F15" s="316">
        <v>2.2999999999999998</v>
      </c>
      <c r="G15" s="316">
        <v>18</v>
      </c>
      <c r="H15" s="316">
        <v>7.3</v>
      </c>
      <c r="I15" s="316">
        <v>1</v>
      </c>
      <c r="J15" s="316">
        <v>11.8</v>
      </c>
      <c r="K15" s="317">
        <f t="shared" si="1"/>
        <v>42.900000000000006</v>
      </c>
      <c r="L15" s="343" t="s">
        <v>429</v>
      </c>
      <c r="M15" s="343" t="s">
        <v>429</v>
      </c>
      <c r="N15" s="319"/>
      <c r="O15" s="320"/>
      <c r="P15" s="321" t="s">
        <v>102</v>
      </c>
      <c r="Q15" s="273"/>
      <c r="R15" s="274"/>
      <c r="S15" s="314"/>
      <c r="T15" s="314"/>
      <c r="U15" s="314">
        <f t="shared" si="2"/>
        <v>0</v>
      </c>
      <c r="Y15" s="315" t="s">
        <v>102</v>
      </c>
      <c r="Z15" s="273">
        <v>131</v>
      </c>
      <c r="AA15" s="274" t="s">
        <v>24</v>
      </c>
      <c r="AB15" s="316">
        <v>3.8</v>
      </c>
      <c r="AC15" s="316">
        <v>12.9</v>
      </c>
      <c r="AD15" s="316">
        <v>6.4</v>
      </c>
      <c r="AE15" s="323">
        <v>7.1</v>
      </c>
      <c r="AF15" s="316">
        <v>10</v>
      </c>
      <c r="AG15" s="316"/>
      <c r="AH15" s="317">
        <v>40.200000000000003</v>
      </c>
      <c r="AI15" s="318"/>
      <c r="AJ15" s="343"/>
      <c r="AK15" s="319"/>
    </row>
    <row r="16" spans="2:37" s="240" customFormat="1" ht="14.25">
      <c r="B16" s="326" t="s">
        <v>103</v>
      </c>
      <c r="C16" s="189">
        <v>199</v>
      </c>
      <c r="D16" s="276" t="str">
        <f t="shared" si="0"/>
        <v>サ－モン4</v>
      </c>
      <c r="E16" s="328"/>
      <c r="F16" s="328">
        <v>9.1999999999999993</v>
      </c>
      <c r="G16" s="328"/>
      <c r="H16" s="328">
        <v>9.1</v>
      </c>
      <c r="I16" s="328">
        <v>6.2</v>
      </c>
      <c r="J16" s="328">
        <v>16.5</v>
      </c>
      <c r="K16" s="330">
        <f t="shared" si="1"/>
        <v>41</v>
      </c>
      <c r="L16" s="331"/>
      <c r="M16" s="345" t="s">
        <v>429</v>
      </c>
      <c r="N16" s="332"/>
      <c r="O16" s="312" t="s">
        <v>162</v>
      </c>
      <c r="P16" s="333" t="s">
        <v>103</v>
      </c>
      <c r="Q16" s="275"/>
      <c r="R16" s="276"/>
      <c r="S16" s="334"/>
      <c r="T16" s="334"/>
      <c r="U16" s="334">
        <f t="shared" si="2"/>
        <v>0</v>
      </c>
      <c r="Y16" s="326" t="s">
        <v>103</v>
      </c>
      <c r="Z16" s="275">
        <v>6714</v>
      </c>
      <c r="AA16" s="276" t="s">
        <v>151</v>
      </c>
      <c r="AB16" s="328">
        <v>20</v>
      </c>
      <c r="AC16" s="328">
        <v>20</v>
      </c>
      <c r="AD16" s="328"/>
      <c r="AE16" s="328"/>
      <c r="AF16" s="328"/>
      <c r="AG16" s="328"/>
      <c r="AH16" s="330">
        <v>40</v>
      </c>
      <c r="AI16" s="331"/>
      <c r="AJ16" s="345"/>
      <c r="AK16" s="332"/>
    </row>
    <row r="17" spans="2:37" s="240" customFormat="1" ht="14.25">
      <c r="B17" s="306" t="s">
        <v>124</v>
      </c>
      <c r="C17" s="271">
        <v>380</v>
      </c>
      <c r="D17" s="279" t="str">
        <f t="shared" si="0"/>
        <v>テティス</v>
      </c>
      <c r="E17" s="307"/>
      <c r="F17" s="307">
        <v>20.8</v>
      </c>
      <c r="G17" s="307"/>
      <c r="H17" s="307">
        <v>16.399999999999999</v>
      </c>
      <c r="I17" s="307"/>
      <c r="J17" s="337"/>
      <c r="K17" s="338">
        <f t="shared" si="1"/>
        <v>37.200000000000003</v>
      </c>
      <c r="L17" s="339"/>
      <c r="M17" s="346" t="s">
        <v>429</v>
      </c>
      <c r="N17" s="340"/>
      <c r="O17" s="320"/>
      <c r="P17" s="313" t="s">
        <v>104</v>
      </c>
      <c r="Q17" s="271"/>
      <c r="R17" s="279"/>
      <c r="S17" s="341"/>
      <c r="T17" s="341"/>
      <c r="U17" s="341">
        <f t="shared" si="2"/>
        <v>0</v>
      </c>
      <c r="Y17" s="306" t="s">
        <v>104</v>
      </c>
      <c r="Z17" s="271">
        <v>346</v>
      </c>
      <c r="AA17" s="279" t="s">
        <v>30</v>
      </c>
      <c r="AB17" s="307">
        <v>2.5</v>
      </c>
      <c r="AC17" s="337">
        <v>2.4</v>
      </c>
      <c r="AD17" s="342">
        <v>8.6</v>
      </c>
      <c r="AE17" s="307">
        <v>5.7</v>
      </c>
      <c r="AF17" s="307">
        <v>13.3</v>
      </c>
      <c r="AG17" s="347"/>
      <c r="AH17" s="338">
        <v>32.5</v>
      </c>
      <c r="AI17" s="339"/>
      <c r="AJ17" s="346"/>
      <c r="AK17" s="340"/>
    </row>
    <row r="18" spans="2:37" s="240" customFormat="1" ht="14.25">
      <c r="B18" s="315" t="s">
        <v>125</v>
      </c>
      <c r="C18" s="177">
        <v>346</v>
      </c>
      <c r="D18" s="279" t="str">
        <f t="shared" si="0"/>
        <v>飛車角</v>
      </c>
      <c r="E18" s="316">
        <v>7.5</v>
      </c>
      <c r="F18" s="316">
        <v>4.5999999999999996</v>
      </c>
      <c r="G18" s="324">
        <v>6</v>
      </c>
      <c r="H18" s="324"/>
      <c r="I18" s="324"/>
      <c r="J18" s="316"/>
      <c r="K18" s="317">
        <f t="shared" si="1"/>
        <v>18.100000000000001</v>
      </c>
      <c r="L18" s="318"/>
      <c r="M18" s="343" t="s">
        <v>429</v>
      </c>
      <c r="N18" s="319"/>
      <c r="O18" s="312"/>
      <c r="P18" s="321" t="s">
        <v>105</v>
      </c>
      <c r="Q18" s="273"/>
      <c r="R18" s="279"/>
      <c r="S18" s="314"/>
      <c r="T18" s="314"/>
      <c r="U18" s="314">
        <f t="shared" si="2"/>
        <v>0</v>
      </c>
      <c r="Y18" s="315" t="s">
        <v>105</v>
      </c>
      <c r="Z18" s="273">
        <v>312</v>
      </c>
      <c r="AA18" s="279" t="s">
        <v>28</v>
      </c>
      <c r="AB18" s="316">
        <v>1</v>
      </c>
      <c r="AC18" s="316"/>
      <c r="AD18" s="322"/>
      <c r="AE18" s="316"/>
      <c r="AF18" s="316">
        <v>30</v>
      </c>
      <c r="AG18" s="316"/>
      <c r="AH18" s="317">
        <v>31</v>
      </c>
      <c r="AI18" s="318"/>
      <c r="AJ18" s="343"/>
      <c r="AK18" s="319"/>
    </row>
    <row r="19" spans="2:37" s="240" customFormat="1" ht="14.25">
      <c r="B19" s="315" t="s">
        <v>106</v>
      </c>
      <c r="C19" s="177">
        <v>162</v>
      </c>
      <c r="D19" s="274" t="str">
        <f t="shared" si="0"/>
        <v>ﾌｪﾆｯｸｽ</v>
      </c>
      <c r="E19" s="324">
        <v>5</v>
      </c>
      <c r="F19" s="316"/>
      <c r="G19" s="324">
        <v>3</v>
      </c>
      <c r="H19" s="317">
        <v>1.8</v>
      </c>
      <c r="I19" s="316">
        <v>1</v>
      </c>
      <c r="J19" s="316">
        <v>7.1</v>
      </c>
      <c r="K19" s="317">
        <f t="shared" si="1"/>
        <v>17.899999999999999</v>
      </c>
      <c r="L19" s="318"/>
      <c r="M19" s="343" t="s">
        <v>429</v>
      </c>
      <c r="N19" s="319"/>
      <c r="O19" s="312"/>
      <c r="P19" s="321" t="s">
        <v>106</v>
      </c>
      <c r="Q19" s="273"/>
      <c r="R19" s="274"/>
      <c r="S19" s="314"/>
      <c r="T19" s="314"/>
      <c r="U19" s="314">
        <f t="shared" si="2"/>
        <v>0</v>
      </c>
      <c r="Y19" s="315" t="s">
        <v>106</v>
      </c>
      <c r="Z19" s="273">
        <v>5755</v>
      </c>
      <c r="AA19" s="274" t="s">
        <v>211</v>
      </c>
      <c r="AB19" s="316">
        <v>8.8000000000000007</v>
      </c>
      <c r="AC19" s="323">
        <v>3.5</v>
      </c>
      <c r="AD19" s="323">
        <v>12.9</v>
      </c>
      <c r="AE19" s="316">
        <v>1</v>
      </c>
      <c r="AF19" s="316"/>
      <c r="AG19" s="316"/>
      <c r="AH19" s="317">
        <v>26.200000000000003</v>
      </c>
      <c r="AI19" s="318"/>
      <c r="AJ19" s="343"/>
      <c r="AK19" s="319"/>
    </row>
    <row r="20" spans="2:37" s="240" customFormat="1" ht="14.25">
      <c r="B20" s="315" t="s">
        <v>107</v>
      </c>
      <c r="C20" s="273">
        <v>2212</v>
      </c>
      <c r="D20" s="274" t="str">
        <f t="shared" si="0"/>
        <v>衣笠</v>
      </c>
      <c r="E20" s="316"/>
      <c r="F20" s="344">
        <v>1</v>
      </c>
      <c r="G20" s="316"/>
      <c r="H20" s="316">
        <v>5.5</v>
      </c>
      <c r="I20" s="316"/>
      <c r="J20" s="316">
        <v>10.6</v>
      </c>
      <c r="K20" s="317">
        <f t="shared" si="1"/>
        <v>17.100000000000001</v>
      </c>
      <c r="L20" s="318"/>
      <c r="M20" s="343" t="s">
        <v>429</v>
      </c>
      <c r="N20" s="319"/>
      <c r="O20" s="320"/>
      <c r="P20" s="321" t="s">
        <v>107</v>
      </c>
      <c r="Q20" s="273"/>
      <c r="R20" s="274"/>
      <c r="S20" s="314"/>
      <c r="T20" s="314"/>
      <c r="U20" s="314">
        <f t="shared" si="2"/>
        <v>0</v>
      </c>
      <c r="Y20" s="315" t="s">
        <v>107</v>
      </c>
      <c r="Z20" s="273">
        <v>199</v>
      </c>
      <c r="AA20" s="274" t="s">
        <v>27</v>
      </c>
      <c r="AB20" s="316">
        <v>10</v>
      </c>
      <c r="AC20" s="322">
        <v>5.9</v>
      </c>
      <c r="AD20" s="322">
        <v>1</v>
      </c>
      <c r="AE20" s="316">
        <v>8.6</v>
      </c>
      <c r="AF20" s="316"/>
      <c r="AG20" s="316"/>
      <c r="AH20" s="317">
        <v>25.5</v>
      </c>
      <c r="AI20" s="318"/>
      <c r="AJ20" s="343"/>
      <c r="AK20" s="319"/>
    </row>
    <row r="21" spans="2:37" s="240" customFormat="1" ht="14.25">
      <c r="B21" s="326" t="s">
        <v>108</v>
      </c>
      <c r="C21" s="275">
        <v>5496</v>
      </c>
      <c r="D21" s="327" t="str">
        <f t="shared" si="0"/>
        <v>桜工</v>
      </c>
      <c r="E21" s="328"/>
      <c r="F21" s="328"/>
      <c r="G21" s="328"/>
      <c r="H21" s="328"/>
      <c r="I21" s="328">
        <v>7.7</v>
      </c>
      <c r="J21" s="328">
        <v>9.4</v>
      </c>
      <c r="K21" s="330">
        <f t="shared" si="1"/>
        <v>17.100000000000001</v>
      </c>
      <c r="L21" s="331"/>
      <c r="M21" s="345" t="s">
        <v>429</v>
      </c>
      <c r="N21" s="332"/>
      <c r="O21" s="312"/>
      <c r="P21" s="333" t="s">
        <v>108</v>
      </c>
      <c r="Q21" s="275"/>
      <c r="R21" s="327"/>
      <c r="S21" s="334"/>
      <c r="T21" s="334"/>
      <c r="U21" s="334">
        <f t="shared" si="2"/>
        <v>0</v>
      </c>
      <c r="Y21" s="326" t="s">
        <v>108</v>
      </c>
      <c r="Z21" s="275">
        <v>1985</v>
      </c>
      <c r="AA21" s="327" t="s">
        <v>34</v>
      </c>
      <c r="AB21" s="328"/>
      <c r="AC21" s="328">
        <v>1</v>
      </c>
      <c r="AD21" s="336"/>
      <c r="AE21" s="328"/>
      <c r="AF21" s="328">
        <v>20</v>
      </c>
      <c r="AG21" s="328"/>
      <c r="AH21" s="330">
        <v>21</v>
      </c>
      <c r="AI21" s="331"/>
      <c r="AJ21" s="345"/>
      <c r="AK21" s="332"/>
    </row>
    <row r="22" spans="2:37" s="240" customFormat="1" ht="14.25">
      <c r="B22" s="306" t="s">
        <v>109</v>
      </c>
      <c r="C22" s="277">
        <v>4010</v>
      </c>
      <c r="D22" s="272" t="str">
        <f t="shared" si="0"/>
        <v>ナジャ</v>
      </c>
      <c r="E22" s="307">
        <v>10</v>
      </c>
      <c r="F22" s="307">
        <v>6.9</v>
      </c>
      <c r="G22" s="307"/>
      <c r="H22" s="307"/>
      <c r="I22" s="307"/>
      <c r="J22" s="307"/>
      <c r="K22" s="309">
        <f t="shared" si="1"/>
        <v>16.899999999999999</v>
      </c>
      <c r="L22" s="310"/>
      <c r="M22" s="346" t="s">
        <v>429</v>
      </c>
      <c r="N22" s="340"/>
      <c r="O22" s="312"/>
      <c r="P22" s="313" t="s">
        <v>109</v>
      </c>
      <c r="Q22" s="277"/>
      <c r="R22" s="272"/>
      <c r="S22" s="341"/>
      <c r="T22" s="341"/>
      <c r="U22" s="341">
        <f t="shared" si="2"/>
        <v>0</v>
      </c>
      <c r="Y22" s="306" t="s">
        <v>109</v>
      </c>
      <c r="Z22" s="348">
        <v>6793</v>
      </c>
      <c r="AA22" s="272" t="s">
        <v>224</v>
      </c>
      <c r="AB22" s="307"/>
      <c r="AC22" s="342"/>
      <c r="AD22" s="342">
        <v>17.100000000000001</v>
      </c>
      <c r="AE22" s="337"/>
      <c r="AF22" s="307"/>
      <c r="AG22" s="307"/>
      <c r="AH22" s="338">
        <v>17.100000000000001</v>
      </c>
      <c r="AI22" s="339"/>
      <c r="AJ22" s="346"/>
      <c r="AK22" s="340"/>
    </row>
    <row r="23" spans="2:37" s="240" customFormat="1" ht="14.25">
      <c r="B23" s="315" t="s">
        <v>110</v>
      </c>
      <c r="C23" s="424">
        <v>1985</v>
      </c>
      <c r="D23" s="274" t="str">
        <f t="shared" si="0"/>
        <v>波勝</v>
      </c>
      <c r="E23" s="349">
        <v>15</v>
      </c>
      <c r="F23" s="349"/>
      <c r="G23" s="349"/>
      <c r="H23" s="349"/>
      <c r="I23" s="349"/>
      <c r="J23" s="349">
        <v>1.2</v>
      </c>
      <c r="K23" s="338">
        <f t="shared" si="1"/>
        <v>16.2</v>
      </c>
      <c r="L23" s="318"/>
      <c r="M23" s="346" t="s">
        <v>429</v>
      </c>
      <c r="N23" s="340"/>
      <c r="O23" s="320"/>
      <c r="P23" s="321" t="s">
        <v>110</v>
      </c>
      <c r="Q23" s="273"/>
      <c r="R23" s="274"/>
      <c r="S23" s="314"/>
      <c r="T23" s="314"/>
      <c r="U23" s="314">
        <f t="shared" si="2"/>
        <v>0</v>
      </c>
      <c r="Y23" s="315" t="s">
        <v>110</v>
      </c>
      <c r="Z23" s="273">
        <v>162</v>
      </c>
      <c r="AA23" s="274" t="s">
        <v>230</v>
      </c>
      <c r="AB23" s="325">
        <v>6.3</v>
      </c>
      <c r="AC23" s="344">
        <v>4.7</v>
      </c>
      <c r="AD23" s="322">
        <v>1</v>
      </c>
      <c r="AE23" s="316">
        <v>4.3</v>
      </c>
      <c r="AF23" s="316"/>
      <c r="AG23" s="316"/>
      <c r="AH23" s="317">
        <v>16.3</v>
      </c>
      <c r="AI23" s="318"/>
      <c r="AJ23" s="346"/>
      <c r="AK23" s="340"/>
    </row>
    <row r="24" spans="2:37" s="240" customFormat="1" ht="14.25">
      <c r="B24" s="315" t="s">
        <v>111</v>
      </c>
      <c r="C24" s="177">
        <v>4469</v>
      </c>
      <c r="D24" s="274" t="str">
        <f t="shared" si="0"/>
        <v>未央</v>
      </c>
      <c r="E24" s="316"/>
      <c r="F24" s="316"/>
      <c r="G24" s="316">
        <v>15</v>
      </c>
      <c r="H24" s="316"/>
      <c r="I24" s="316">
        <v>1</v>
      </c>
      <c r="J24" s="316"/>
      <c r="K24" s="338">
        <f t="shared" si="1"/>
        <v>16</v>
      </c>
      <c r="L24" s="318"/>
      <c r="M24" s="343" t="s">
        <v>429</v>
      </c>
      <c r="N24" s="319"/>
      <c r="O24" s="320"/>
      <c r="P24" s="321" t="s">
        <v>111</v>
      </c>
      <c r="Q24" s="273"/>
      <c r="R24" s="274"/>
      <c r="S24" s="314"/>
      <c r="T24" s="314"/>
      <c r="U24" s="314">
        <f t="shared" si="2"/>
        <v>0</v>
      </c>
      <c r="Y24" s="315" t="s">
        <v>111</v>
      </c>
      <c r="Z24" s="273">
        <v>3387</v>
      </c>
      <c r="AA24" s="274" t="s">
        <v>153</v>
      </c>
      <c r="AB24" s="316"/>
      <c r="AC24" s="316">
        <v>15.3</v>
      </c>
      <c r="AD24" s="322"/>
      <c r="AE24" s="316"/>
      <c r="AF24" s="316"/>
      <c r="AG24" s="344"/>
      <c r="AH24" s="317">
        <v>15.3</v>
      </c>
      <c r="AI24" s="318"/>
      <c r="AJ24" s="343"/>
      <c r="AK24" s="319"/>
    </row>
    <row r="25" spans="2:37" s="240" customFormat="1" ht="14.25">
      <c r="B25" s="315" t="s">
        <v>112</v>
      </c>
      <c r="C25" s="177">
        <v>5755</v>
      </c>
      <c r="D25" s="274" t="str">
        <f t="shared" si="0"/>
        <v>ランカ</v>
      </c>
      <c r="E25" s="316"/>
      <c r="F25" s="316"/>
      <c r="G25" s="316"/>
      <c r="H25" s="316"/>
      <c r="I25" s="316"/>
      <c r="J25" s="316">
        <v>12.9</v>
      </c>
      <c r="K25" s="338">
        <f t="shared" si="1"/>
        <v>12.9</v>
      </c>
      <c r="L25" s="318"/>
      <c r="M25" s="343"/>
      <c r="N25" s="319"/>
      <c r="O25" s="351"/>
      <c r="P25" s="321" t="s">
        <v>112</v>
      </c>
      <c r="Q25" s="278"/>
      <c r="R25" s="274"/>
      <c r="S25" s="314"/>
      <c r="T25" s="314"/>
      <c r="U25" s="314">
        <f t="shared" si="2"/>
        <v>0</v>
      </c>
      <c r="Y25" s="315" t="s">
        <v>112</v>
      </c>
      <c r="Z25" s="273">
        <v>2212</v>
      </c>
      <c r="AA25" s="274" t="s">
        <v>35</v>
      </c>
      <c r="AB25" s="316">
        <v>5</v>
      </c>
      <c r="AC25" s="316"/>
      <c r="AD25" s="322"/>
      <c r="AE25" s="316">
        <v>10</v>
      </c>
      <c r="AF25" s="316"/>
      <c r="AG25" s="316"/>
      <c r="AH25" s="317">
        <v>15</v>
      </c>
      <c r="AI25" s="318"/>
      <c r="AJ25" s="343"/>
      <c r="AK25" s="319"/>
    </row>
    <row r="26" spans="2:37" s="240" customFormat="1" ht="14.25">
      <c r="B26" s="326" t="s">
        <v>126</v>
      </c>
      <c r="C26" s="275">
        <v>2759</v>
      </c>
      <c r="D26" s="276" t="str">
        <f t="shared" si="0"/>
        <v>イクソラⅢ</v>
      </c>
      <c r="E26" s="328"/>
      <c r="F26" s="328"/>
      <c r="G26" s="328"/>
      <c r="H26" s="335"/>
      <c r="I26" s="328"/>
      <c r="J26" s="328">
        <v>8.1999999999999993</v>
      </c>
      <c r="K26" s="330">
        <f t="shared" si="1"/>
        <v>8.1999999999999993</v>
      </c>
      <c r="L26" s="331"/>
      <c r="M26" s="345"/>
      <c r="N26" s="332"/>
      <c r="O26" s="320"/>
      <c r="P26" s="333" t="s">
        <v>113</v>
      </c>
      <c r="Q26" s="275"/>
      <c r="R26" s="276"/>
      <c r="S26" s="334"/>
      <c r="T26" s="334"/>
      <c r="U26" s="334">
        <f t="shared" si="2"/>
        <v>0</v>
      </c>
      <c r="Y26" s="326" t="s">
        <v>113</v>
      </c>
      <c r="Z26" s="275">
        <v>5273</v>
      </c>
      <c r="AA26" s="276" t="s">
        <v>319</v>
      </c>
      <c r="AB26" s="328">
        <v>12.5</v>
      </c>
      <c r="AC26" s="329"/>
      <c r="AD26" s="336"/>
      <c r="AE26" s="328"/>
      <c r="AF26" s="328"/>
      <c r="AG26" s="328"/>
      <c r="AH26" s="330">
        <v>12.5</v>
      </c>
      <c r="AI26" s="331"/>
      <c r="AJ26" s="345"/>
      <c r="AK26" s="332"/>
    </row>
    <row r="27" spans="2:37" s="240" customFormat="1" ht="14.25">
      <c r="B27" s="306" t="s">
        <v>114</v>
      </c>
      <c r="C27" s="177">
        <v>6934</v>
      </c>
      <c r="D27" s="279" t="str">
        <f t="shared" si="0"/>
        <v>香</v>
      </c>
      <c r="E27" s="307"/>
      <c r="F27" s="307"/>
      <c r="G27" s="307"/>
      <c r="H27" s="307"/>
      <c r="I27" s="307">
        <v>1</v>
      </c>
      <c r="J27" s="307">
        <v>3.5</v>
      </c>
      <c r="K27" s="338">
        <f t="shared" si="1"/>
        <v>4.5</v>
      </c>
      <c r="L27" s="339"/>
      <c r="M27" s="346" t="s">
        <v>428</v>
      </c>
      <c r="N27" s="340"/>
      <c r="O27" s="320"/>
      <c r="P27" s="313" t="s">
        <v>114</v>
      </c>
      <c r="Q27" s="278"/>
      <c r="R27" s="279"/>
      <c r="S27" s="341"/>
      <c r="T27" s="341"/>
      <c r="U27" s="341">
        <f t="shared" si="2"/>
        <v>0</v>
      </c>
      <c r="Y27" s="306" t="s">
        <v>114</v>
      </c>
      <c r="Z27" s="273">
        <v>1545</v>
      </c>
      <c r="AA27" s="279" t="s">
        <v>228</v>
      </c>
      <c r="AB27" s="347"/>
      <c r="AC27" s="307">
        <v>8.1999999999999993</v>
      </c>
      <c r="AD27" s="352"/>
      <c r="AE27" s="307"/>
      <c r="AF27" s="307"/>
      <c r="AG27" s="307"/>
      <c r="AH27" s="338">
        <v>8.1999999999999993</v>
      </c>
      <c r="AI27" s="339"/>
      <c r="AJ27" s="346"/>
      <c r="AK27" s="340"/>
    </row>
    <row r="28" spans="2:37" s="240" customFormat="1" ht="14.25">
      <c r="B28" s="315" t="s">
        <v>115</v>
      </c>
      <c r="C28" s="277">
        <v>6766</v>
      </c>
      <c r="D28" s="274" t="str">
        <f t="shared" si="0"/>
        <v>くろしお</v>
      </c>
      <c r="E28" s="344"/>
      <c r="F28" s="316"/>
      <c r="G28" s="316"/>
      <c r="H28" s="316"/>
      <c r="I28" s="316"/>
      <c r="J28" s="316">
        <v>1</v>
      </c>
      <c r="K28" s="317">
        <f t="shared" si="1"/>
        <v>1</v>
      </c>
      <c r="L28" s="318"/>
      <c r="M28" s="343"/>
      <c r="N28" s="319"/>
      <c r="O28" s="312"/>
      <c r="P28" s="321" t="s">
        <v>115</v>
      </c>
      <c r="Q28" s="277"/>
      <c r="R28" s="274"/>
      <c r="S28" s="314"/>
      <c r="T28" s="314"/>
      <c r="U28" s="314">
        <f t="shared" si="2"/>
        <v>0</v>
      </c>
      <c r="Y28" s="315" t="s">
        <v>115</v>
      </c>
      <c r="Z28" s="277">
        <v>6858</v>
      </c>
      <c r="AA28" s="274" t="s">
        <v>318</v>
      </c>
      <c r="AB28" s="316"/>
      <c r="AC28" s="323">
        <v>7.1</v>
      </c>
      <c r="AD28" s="322"/>
      <c r="AE28" s="316"/>
      <c r="AF28" s="316"/>
      <c r="AG28" s="316"/>
      <c r="AH28" s="317">
        <v>7.1</v>
      </c>
      <c r="AI28" s="318"/>
      <c r="AJ28" s="343"/>
      <c r="AK28" s="319"/>
    </row>
    <row r="29" spans="2:37" s="240" customFormat="1" ht="14.25">
      <c r="B29" s="315" t="s">
        <v>116</v>
      </c>
      <c r="C29" s="273"/>
      <c r="D29" s="274" t="str">
        <f t="shared" ref="D29:D36" si="3">IF(ISBLANK(C29),"",VLOOKUP(C29,各艇データ,2,FALSE))</f>
        <v/>
      </c>
      <c r="E29" s="316"/>
      <c r="F29" s="316"/>
      <c r="G29" s="344"/>
      <c r="H29" s="316"/>
      <c r="I29" s="316"/>
      <c r="J29" s="316"/>
      <c r="K29" s="317"/>
      <c r="L29" s="318"/>
      <c r="M29" s="343"/>
      <c r="N29" s="319"/>
      <c r="O29" s="312"/>
      <c r="P29" s="321" t="s">
        <v>116</v>
      </c>
      <c r="Q29" s="273"/>
      <c r="R29" s="274"/>
      <c r="S29" s="314"/>
      <c r="T29" s="314"/>
      <c r="U29" s="314">
        <f t="shared" si="2"/>
        <v>0</v>
      </c>
      <c r="Y29" s="315" t="s">
        <v>116</v>
      </c>
      <c r="Z29" s="273">
        <v>4010</v>
      </c>
      <c r="AA29" s="274" t="s">
        <v>149</v>
      </c>
      <c r="AB29" s="344"/>
      <c r="AC29" s="316"/>
      <c r="AD29" s="322">
        <v>4.3</v>
      </c>
      <c r="AE29" s="316"/>
      <c r="AF29" s="316"/>
      <c r="AG29" s="316"/>
      <c r="AH29" s="317">
        <v>4.3</v>
      </c>
      <c r="AI29" s="318"/>
      <c r="AJ29" s="343"/>
      <c r="AK29" s="319"/>
    </row>
    <row r="30" spans="2:37" s="240" customFormat="1" ht="14.25">
      <c r="B30" s="315" t="s">
        <v>117</v>
      </c>
      <c r="C30" s="273"/>
      <c r="D30" s="274" t="str">
        <f t="shared" si="3"/>
        <v/>
      </c>
      <c r="E30" s="316"/>
      <c r="F30" s="316"/>
      <c r="G30" s="316"/>
      <c r="H30" s="316"/>
      <c r="I30" s="316"/>
      <c r="J30" s="316"/>
      <c r="K30" s="317"/>
      <c r="L30" s="318"/>
      <c r="M30" s="343"/>
      <c r="N30" s="319"/>
      <c r="O30" s="312"/>
      <c r="P30" s="321" t="s">
        <v>117</v>
      </c>
      <c r="Q30" s="273"/>
      <c r="R30" s="274"/>
      <c r="S30" s="314"/>
      <c r="T30" s="314"/>
      <c r="U30" s="314">
        <f t="shared" si="2"/>
        <v>0</v>
      </c>
      <c r="Y30" s="315" t="s">
        <v>117</v>
      </c>
      <c r="Z30" s="273">
        <v>2759</v>
      </c>
      <c r="AA30" s="274" t="s">
        <v>38</v>
      </c>
      <c r="AB30" s="316"/>
      <c r="AC30" s="323"/>
      <c r="AD30" s="322"/>
      <c r="AE30" s="316">
        <v>1</v>
      </c>
      <c r="AF30" s="316"/>
      <c r="AG30" s="316"/>
      <c r="AH30" s="317">
        <v>1</v>
      </c>
      <c r="AI30" s="318"/>
      <c r="AJ30" s="343"/>
      <c r="AK30" s="319"/>
    </row>
    <row r="31" spans="2:37" s="240" customFormat="1" ht="15" thickBot="1">
      <c r="B31" s="326" t="s">
        <v>118</v>
      </c>
      <c r="C31" s="275"/>
      <c r="D31" s="276" t="str">
        <f t="shared" si="3"/>
        <v/>
      </c>
      <c r="E31" s="328"/>
      <c r="F31" s="328"/>
      <c r="G31" s="328"/>
      <c r="H31" s="328"/>
      <c r="I31" s="328"/>
      <c r="J31" s="328"/>
      <c r="K31" s="330"/>
      <c r="L31" s="331"/>
      <c r="M31" s="345"/>
      <c r="N31" s="332"/>
      <c r="O31" s="312"/>
      <c r="P31" s="333" t="s">
        <v>118</v>
      </c>
      <c r="Q31" s="275"/>
      <c r="R31" s="276"/>
      <c r="S31" s="334"/>
      <c r="T31" s="334"/>
      <c r="U31" s="334">
        <f t="shared" si="2"/>
        <v>0</v>
      </c>
      <c r="Y31" s="326" t="s">
        <v>118</v>
      </c>
      <c r="Z31" s="275"/>
      <c r="AA31" s="276"/>
      <c r="AB31" s="328"/>
      <c r="AC31" s="328"/>
      <c r="AD31" s="336"/>
      <c r="AE31" s="328"/>
      <c r="AF31" s="328"/>
      <c r="AG31" s="328"/>
      <c r="AH31" s="330"/>
      <c r="AI31" s="331"/>
      <c r="AJ31" s="345"/>
      <c r="AK31" s="353"/>
    </row>
    <row r="32" spans="2:37" s="240" customFormat="1" ht="15" thickTop="1">
      <c r="B32" s="354" t="s">
        <v>114</v>
      </c>
      <c r="C32" s="348"/>
      <c r="D32" s="279" t="str">
        <f t="shared" si="3"/>
        <v/>
      </c>
      <c r="E32" s="355"/>
      <c r="F32" s="349"/>
      <c r="G32" s="350"/>
      <c r="H32" s="349"/>
      <c r="I32" s="356"/>
      <c r="J32" s="349"/>
      <c r="K32" s="338"/>
      <c r="L32" s="339"/>
      <c r="M32" s="346"/>
      <c r="N32" s="340"/>
      <c r="O32" s="320"/>
      <c r="P32" s="313" t="s">
        <v>114</v>
      </c>
      <c r="Q32" s="348"/>
      <c r="R32" s="279"/>
      <c r="S32" s="341"/>
      <c r="T32" s="341"/>
      <c r="U32" s="341">
        <f t="shared" si="2"/>
        <v>0</v>
      </c>
      <c r="Y32" s="354" t="s">
        <v>114</v>
      </c>
      <c r="Z32" s="348"/>
      <c r="AA32" s="279"/>
      <c r="AB32" s="355"/>
      <c r="AC32" s="349"/>
      <c r="AD32" s="350"/>
      <c r="AE32" s="349"/>
      <c r="AF32" s="356"/>
      <c r="AG32" s="349"/>
      <c r="AH32" s="338"/>
      <c r="AI32" s="339"/>
      <c r="AJ32" s="346"/>
      <c r="AK32" s="340"/>
    </row>
    <row r="33" spans="2:37" s="240" customFormat="1" ht="14.25">
      <c r="B33" s="315" t="s">
        <v>115</v>
      </c>
      <c r="C33" s="277"/>
      <c r="D33" s="274" t="str">
        <f t="shared" si="3"/>
        <v/>
      </c>
      <c r="E33" s="344"/>
      <c r="F33" s="316"/>
      <c r="G33" s="322"/>
      <c r="H33" s="316"/>
      <c r="I33" s="316"/>
      <c r="J33" s="344"/>
      <c r="K33" s="317"/>
      <c r="L33" s="318"/>
      <c r="M33" s="343"/>
      <c r="N33" s="319"/>
      <c r="O33" s="312"/>
      <c r="P33" s="321" t="s">
        <v>115</v>
      </c>
      <c r="Q33" s="277"/>
      <c r="R33" s="274"/>
      <c r="S33" s="314"/>
      <c r="T33" s="314"/>
      <c r="U33" s="314">
        <f t="shared" si="2"/>
        <v>0</v>
      </c>
      <c r="Y33" s="315" t="s">
        <v>115</v>
      </c>
      <c r="Z33" s="277"/>
      <c r="AA33" s="274"/>
      <c r="AB33" s="344"/>
      <c r="AC33" s="316"/>
      <c r="AD33" s="322"/>
      <c r="AE33" s="316"/>
      <c r="AF33" s="316"/>
      <c r="AG33" s="344"/>
      <c r="AH33" s="317"/>
      <c r="AI33" s="318"/>
      <c r="AJ33" s="343"/>
      <c r="AK33" s="319"/>
    </row>
    <row r="34" spans="2:37" s="240" customFormat="1" ht="14.25">
      <c r="B34" s="315" t="s">
        <v>116</v>
      </c>
      <c r="C34" s="278"/>
      <c r="D34" s="274" t="str">
        <f t="shared" si="3"/>
        <v/>
      </c>
      <c r="E34" s="316"/>
      <c r="F34" s="322"/>
      <c r="G34" s="322"/>
      <c r="H34" s="344"/>
      <c r="I34" s="316"/>
      <c r="J34" s="316"/>
      <c r="K34" s="317"/>
      <c r="L34" s="318"/>
      <c r="M34" s="343"/>
      <c r="N34" s="319"/>
      <c r="O34" s="312"/>
      <c r="P34" s="321" t="s">
        <v>116</v>
      </c>
      <c r="Q34" s="273"/>
      <c r="R34" s="357" t="str">
        <f>IF(ISBLANK(Q34),"",VLOOKUP(Q34,各艇データ,2,FALSE))</f>
        <v/>
      </c>
      <c r="S34" s="314"/>
      <c r="T34" s="314"/>
      <c r="U34" s="314"/>
      <c r="Y34" s="315" t="s">
        <v>116</v>
      </c>
      <c r="Z34" s="278"/>
      <c r="AA34" s="274"/>
      <c r="AB34" s="316"/>
      <c r="AC34" s="322"/>
      <c r="AD34" s="322"/>
      <c r="AE34" s="344"/>
      <c r="AF34" s="316"/>
      <c r="AG34" s="316"/>
      <c r="AH34" s="317"/>
      <c r="AI34" s="318"/>
      <c r="AJ34" s="343"/>
      <c r="AK34" s="319"/>
    </row>
    <row r="35" spans="2:37" s="240" customFormat="1" ht="14.25">
      <c r="B35" s="315" t="s">
        <v>117</v>
      </c>
      <c r="C35" s="273"/>
      <c r="D35" s="274" t="str">
        <f t="shared" si="3"/>
        <v/>
      </c>
      <c r="E35" s="316"/>
      <c r="F35" s="316"/>
      <c r="G35" s="316"/>
      <c r="H35" s="316"/>
      <c r="I35" s="316"/>
      <c r="J35" s="344"/>
      <c r="K35" s="317"/>
      <c r="L35" s="318"/>
      <c r="M35" s="343"/>
      <c r="N35" s="319"/>
      <c r="O35" s="312"/>
      <c r="P35" s="321" t="s">
        <v>117</v>
      </c>
      <c r="Q35" s="273"/>
      <c r="R35" s="357"/>
      <c r="S35" s="314"/>
      <c r="T35" s="314"/>
      <c r="U35" s="314"/>
      <c r="Y35" s="315" t="s">
        <v>117</v>
      </c>
      <c r="Z35" s="273"/>
      <c r="AA35" s="274"/>
      <c r="AB35" s="316"/>
      <c r="AC35" s="316"/>
      <c r="AD35" s="316"/>
      <c r="AE35" s="316"/>
      <c r="AF35" s="316"/>
      <c r="AG35" s="344"/>
      <c r="AH35" s="317"/>
      <c r="AI35" s="318"/>
      <c r="AJ35" s="343"/>
      <c r="AK35" s="319"/>
    </row>
    <row r="36" spans="2:37" s="240" customFormat="1" ht="15" thickBot="1">
      <c r="B36" s="358" t="s">
        <v>118</v>
      </c>
      <c r="C36" s="359"/>
      <c r="D36" s="360" t="str">
        <f t="shared" si="3"/>
        <v/>
      </c>
      <c r="E36" s="361"/>
      <c r="F36" s="361"/>
      <c r="G36" s="361"/>
      <c r="H36" s="361"/>
      <c r="I36" s="361"/>
      <c r="J36" s="361"/>
      <c r="K36" s="362"/>
      <c r="L36" s="363"/>
      <c r="M36" s="364"/>
      <c r="N36" s="353"/>
      <c r="O36" s="312"/>
      <c r="P36" s="333" t="s">
        <v>118</v>
      </c>
      <c r="Q36" s="275"/>
      <c r="R36" s="365"/>
      <c r="S36" s="334"/>
      <c r="T36" s="334"/>
      <c r="U36" s="334"/>
      <c r="Y36" s="358" t="s">
        <v>118</v>
      </c>
      <c r="Z36" s="359"/>
      <c r="AA36" s="360" t="str">
        <f>IF(ISBLANK(Z36),"",VLOOKUP(Z36,各艇データ,2,FALSE))</f>
        <v/>
      </c>
      <c r="AB36" s="361"/>
      <c r="AC36" s="361"/>
      <c r="AD36" s="361"/>
      <c r="AE36" s="361"/>
      <c r="AF36" s="361"/>
      <c r="AG36" s="361"/>
      <c r="AH36" s="362"/>
      <c r="AI36" s="363"/>
      <c r="AJ36" s="364"/>
      <c r="AK36" s="353"/>
    </row>
    <row r="37" spans="2:37" s="240" customFormat="1" ht="15.75" thickTop="1" thickBot="1">
      <c r="B37" s="532" t="s">
        <v>119</v>
      </c>
      <c r="C37" s="533"/>
      <c r="D37" s="534"/>
      <c r="E37" s="366">
        <f t="shared" ref="E37:J37" si="4">COUNT(E7:E36)</f>
        <v>12</v>
      </c>
      <c r="F37" s="366">
        <f t="shared" si="4"/>
        <v>14</v>
      </c>
      <c r="G37" s="366">
        <f t="shared" si="4"/>
        <v>10</v>
      </c>
      <c r="H37" s="366">
        <f>COUNT(H7:H36)</f>
        <v>12</v>
      </c>
      <c r="I37" s="366">
        <f t="shared" si="4"/>
        <v>14</v>
      </c>
      <c r="J37" s="366">
        <f t="shared" si="4"/>
        <v>18</v>
      </c>
      <c r="K37" s="366"/>
      <c r="L37" s="367"/>
      <c r="M37" s="368"/>
      <c r="N37" s="369"/>
      <c r="O37" s="312"/>
      <c r="P37" s="313" t="s">
        <v>135</v>
      </c>
      <c r="Q37" s="277"/>
      <c r="R37" s="370"/>
      <c r="S37" s="341"/>
      <c r="T37" s="341"/>
      <c r="U37" s="341"/>
      <c r="Y37" s="493" t="s">
        <v>215</v>
      </c>
      <c r="Z37" s="494"/>
      <c r="AA37" s="495"/>
      <c r="AB37" s="366">
        <f>COUNT(AB7:AB36)</f>
        <v>17</v>
      </c>
      <c r="AC37" s="366">
        <f>COUNT(AC7:AC36)</f>
        <v>18</v>
      </c>
      <c r="AD37" s="366">
        <f>COUNT(AD7:AD36)</f>
        <v>15</v>
      </c>
      <c r="AE37" s="366">
        <f>COUNT(AE7:AE36)</f>
        <v>14</v>
      </c>
      <c r="AF37" s="366">
        <f>COUNT(AF7:AF36)</f>
        <v>11</v>
      </c>
      <c r="AG37" s="366"/>
      <c r="AH37" s="366"/>
      <c r="AI37" s="367"/>
      <c r="AJ37" s="368"/>
      <c r="AK37" s="369"/>
    </row>
    <row r="38" spans="2:37" s="240" customFormat="1" ht="14.25">
      <c r="B38" s="236" t="s">
        <v>127</v>
      </c>
      <c r="C38" s="236"/>
      <c r="O38" s="371"/>
      <c r="P38" s="321" t="s">
        <v>136</v>
      </c>
      <c r="Q38" s="273"/>
      <c r="R38" s="357"/>
      <c r="S38" s="314"/>
      <c r="T38" s="314"/>
      <c r="U38" s="314"/>
      <c r="Y38" s="236" t="s">
        <v>127</v>
      </c>
      <c r="Z38" s="236"/>
    </row>
    <row r="39" spans="2:37" s="240" customFormat="1" ht="14.25">
      <c r="C39" s="236"/>
      <c r="K39" s="372"/>
      <c r="L39" s="372"/>
      <c r="M39" s="372"/>
      <c r="N39" s="372"/>
      <c r="O39" s="372"/>
      <c r="P39" s="321" t="s">
        <v>137</v>
      </c>
      <c r="Q39" s="273"/>
      <c r="R39" s="274" t="str">
        <f>IF(ISBLANK(Q39),"",VLOOKUP(Q39,各艇データ,2,FALSE))</f>
        <v/>
      </c>
      <c r="S39" s="314"/>
      <c r="T39" s="314"/>
      <c r="U39" s="314"/>
      <c r="Z39" s="236"/>
      <c r="AH39" s="372"/>
      <c r="AI39" s="372"/>
      <c r="AJ39" s="372"/>
      <c r="AK39" s="372"/>
    </row>
    <row r="40" spans="2:37" s="240" customFormat="1" ht="14.25">
      <c r="C40" s="236"/>
      <c r="J40" s="496" t="s">
        <v>120</v>
      </c>
      <c r="K40" s="496"/>
      <c r="L40" s="496"/>
      <c r="M40" s="496"/>
      <c r="N40" s="373"/>
      <c r="O40" s="374"/>
      <c r="P40" s="321" t="s">
        <v>138</v>
      </c>
      <c r="Q40" s="273"/>
      <c r="R40" s="274" t="str">
        <f>IF(ISBLANK(Q40),"",VLOOKUP(Q40,各艇データ,2,FALSE))</f>
        <v/>
      </c>
      <c r="S40" s="314"/>
      <c r="T40" s="314"/>
      <c r="U40" s="314"/>
      <c r="Z40" s="236"/>
      <c r="AG40" s="496" t="s">
        <v>120</v>
      </c>
      <c r="AH40" s="496"/>
      <c r="AI40" s="496"/>
      <c r="AJ40" s="496"/>
      <c r="AK40" s="373"/>
    </row>
    <row r="41" spans="2:37" s="240" customFormat="1" ht="15" thickBot="1">
      <c r="C41" s="236"/>
      <c r="P41" s="333" t="s">
        <v>139</v>
      </c>
      <c r="Q41" s="275"/>
      <c r="R41" s="365" t="s">
        <v>88</v>
      </c>
      <c r="S41" s="334"/>
      <c r="T41" s="334"/>
      <c r="U41" s="334"/>
      <c r="Z41" s="236"/>
    </row>
    <row r="42" spans="2:37" s="240" customFormat="1" ht="15" thickTop="1">
      <c r="C42" s="236"/>
      <c r="D42" s="375"/>
      <c r="E42" s="376"/>
      <c r="F42" s="376"/>
      <c r="G42" s="376"/>
      <c r="H42" s="376"/>
      <c r="I42" s="377"/>
      <c r="Z42" s="236"/>
      <c r="AA42" s="375"/>
      <c r="AB42" s="376"/>
      <c r="AC42" s="376"/>
      <c r="AD42" s="376"/>
      <c r="AE42" s="376"/>
      <c r="AF42" s="377"/>
    </row>
    <row r="43" spans="2:37" s="240" customFormat="1" ht="14.25">
      <c r="C43" s="236"/>
      <c r="D43" s="378" t="s">
        <v>121</v>
      </c>
      <c r="E43" s="379"/>
      <c r="I43" s="380"/>
      <c r="T43" s="240" t="s">
        <v>120</v>
      </c>
      <c r="Z43" s="236"/>
      <c r="AA43" s="378" t="s">
        <v>121</v>
      </c>
      <c r="AB43" s="379"/>
      <c r="AF43" s="380"/>
    </row>
    <row r="44" spans="2:37" s="240" customFormat="1" ht="14.25">
      <c r="C44" s="236"/>
      <c r="D44" s="497" t="s">
        <v>202</v>
      </c>
      <c r="E44" s="498"/>
      <c r="I44" s="380"/>
      <c r="Z44" s="236"/>
      <c r="AA44" s="497" t="s">
        <v>202</v>
      </c>
      <c r="AB44" s="498"/>
      <c r="AF44" s="380"/>
    </row>
    <row r="45" spans="2:37" s="240" customFormat="1" ht="14.25">
      <c r="C45" s="236"/>
      <c r="D45" s="497" t="s">
        <v>203</v>
      </c>
      <c r="E45" s="498"/>
      <c r="I45" s="380"/>
      <c r="Z45" s="236"/>
      <c r="AA45" s="497" t="s">
        <v>203</v>
      </c>
      <c r="AB45" s="498"/>
      <c r="AF45" s="380"/>
    </row>
    <row r="46" spans="2:37" s="240" customFormat="1" ht="14.25">
      <c r="C46" s="236"/>
      <c r="D46" s="378" t="s">
        <v>128</v>
      </c>
      <c r="E46" s="381" t="s">
        <v>204</v>
      </c>
      <c r="F46" s="382"/>
      <c r="G46" s="382"/>
      <c r="H46" s="382"/>
      <c r="I46" s="380"/>
      <c r="Z46" s="236"/>
      <c r="AA46" s="378" t="s">
        <v>128</v>
      </c>
      <c r="AB46" s="381" t="s">
        <v>204</v>
      </c>
      <c r="AC46" s="382"/>
      <c r="AD46" s="382"/>
      <c r="AE46" s="382"/>
      <c r="AF46" s="380"/>
    </row>
    <row r="47" spans="2:37" s="240" customFormat="1" ht="14.25">
      <c r="C47" s="236"/>
      <c r="D47" s="378" t="s">
        <v>129</v>
      </c>
      <c r="E47" s="381" t="s">
        <v>205</v>
      </c>
      <c r="F47" s="382"/>
      <c r="G47" s="382"/>
      <c r="H47" s="382"/>
      <c r="I47" s="380"/>
      <c r="K47" s="383"/>
      <c r="Z47" s="236"/>
      <c r="AA47" s="378" t="s">
        <v>129</v>
      </c>
      <c r="AB47" s="381" t="s">
        <v>205</v>
      </c>
      <c r="AC47" s="382"/>
      <c r="AD47" s="382"/>
      <c r="AE47" s="382"/>
      <c r="AF47" s="380"/>
      <c r="AH47" s="383"/>
    </row>
    <row r="48" spans="2:37" s="240" customFormat="1" ht="15" thickBot="1">
      <c r="C48" s="236"/>
      <c r="D48" s="384"/>
      <c r="E48" s="385"/>
      <c r="F48" s="385"/>
      <c r="G48" s="385"/>
      <c r="H48" s="385"/>
      <c r="I48" s="386"/>
      <c r="Z48" s="236"/>
      <c r="AA48" s="384"/>
      <c r="AB48" s="385"/>
      <c r="AC48" s="385"/>
      <c r="AD48" s="385"/>
      <c r="AE48" s="385"/>
      <c r="AF48" s="386"/>
    </row>
    <row r="49" spans="3:26" s="240" customFormat="1" ht="15" thickTop="1">
      <c r="C49" s="236"/>
      <c r="Z49" s="236"/>
    </row>
  </sheetData>
  <sortState ref="C7:M28">
    <sortCondition descending="1" ref="K7:K28"/>
  </sortState>
  <mergeCells count="27">
    <mergeCell ref="D45:E45"/>
    <mergeCell ref="J3:M3"/>
    <mergeCell ref="B37:D37"/>
    <mergeCell ref="J40:M40"/>
    <mergeCell ref="P2:U2"/>
    <mergeCell ref="B2:M2"/>
    <mergeCell ref="D44:E44"/>
    <mergeCell ref="B1:M1"/>
    <mergeCell ref="B4:B6"/>
    <mergeCell ref="C4:C6"/>
    <mergeCell ref="D4:D6"/>
    <mergeCell ref="K4:K6"/>
    <mergeCell ref="L4:L6"/>
    <mergeCell ref="M4:M6"/>
    <mergeCell ref="Y37:AA37"/>
    <mergeCell ref="AG40:AJ40"/>
    <mergeCell ref="AA44:AB44"/>
    <mergeCell ref="AA45:AB45"/>
    <mergeCell ref="Y1:AJ1"/>
    <mergeCell ref="Y2:AJ2"/>
    <mergeCell ref="AG3:AJ3"/>
    <mergeCell ref="Y4:Y6"/>
    <mergeCell ref="Z4:Z6"/>
    <mergeCell ref="AA4:AA6"/>
    <mergeCell ref="AH4:AH6"/>
    <mergeCell ref="AI4:AI6"/>
    <mergeCell ref="AJ4:AJ6"/>
  </mergeCells>
  <phoneticPr fontId="4"/>
  <dataValidations count="3">
    <dataValidation type="list" allowBlank="1" showInputMessage="1" showErrorMessage="1" sqref="E6:J6 AB6:AG6">
      <formula1>コース</formula1>
    </dataValidation>
    <dataValidation type="list" allowBlank="1" showInputMessage="1" showErrorMessage="1" sqref="E4:J4 AB4:AG4 N4">
      <formula1>レース番号</formula1>
    </dataValidation>
    <dataValidation type="list" allowBlank="1" showInputMessage="1" showErrorMessage="1" sqref="E5:J5 AB5:AG5">
      <formula1>開催日</formula1>
    </dataValidation>
  </dataValidations>
  <pageMargins left="0.51181102362204722" right="0.31496062992125984" top="0.74803149606299213" bottom="0.74803149606299213" header="0.31496062992125984" footer="0.31496062992125984"/>
  <pageSetup paperSize="9"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workbookViewId="0">
      <selection activeCell="O22" sqref="O22"/>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2" customFormat="1" ht="14.25" customHeight="1">
      <c r="B1" s="541"/>
      <c r="C1" s="541"/>
      <c r="D1" s="541"/>
      <c r="E1" s="541"/>
      <c r="F1" s="541"/>
      <c r="G1" s="541"/>
      <c r="H1" s="541"/>
      <c r="I1" s="541"/>
      <c r="J1" s="541"/>
      <c r="K1" s="541"/>
      <c r="L1" s="541"/>
      <c r="O1" s="538" t="s">
        <v>299</v>
      </c>
      <c r="P1" s="538"/>
      <c r="Q1" s="538"/>
      <c r="R1" s="538"/>
      <c r="S1" s="538"/>
      <c r="T1" s="81"/>
    </row>
    <row r="2" spans="2:20" s="42" customFormat="1" ht="20.25" customHeight="1">
      <c r="B2" s="542" t="s">
        <v>130</v>
      </c>
      <c r="C2" s="542"/>
      <c r="D2" s="542"/>
      <c r="E2" s="542"/>
      <c r="F2" s="542"/>
      <c r="G2" s="542"/>
      <c r="H2" s="542"/>
      <c r="I2" s="542"/>
      <c r="J2" s="542"/>
      <c r="K2" s="542"/>
      <c r="L2" s="542"/>
      <c r="M2" s="542"/>
      <c r="O2" s="80"/>
      <c r="P2" s="80"/>
      <c r="Q2" s="80"/>
      <c r="R2" s="82"/>
      <c r="S2" s="80"/>
      <c r="T2" s="81"/>
    </row>
    <row r="3" spans="2:20" s="2" customFormat="1" ht="21" customHeight="1">
      <c r="B3" s="543"/>
      <c r="C3" s="543"/>
      <c r="D3" s="543"/>
      <c r="E3" s="543"/>
      <c r="F3" s="543"/>
      <c r="G3" s="543"/>
      <c r="H3" s="543"/>
      <c r="I3" s="543"/>
      <c r="J3" s="543"/>
      <c r="K3" s="543"/>
      <c r="L3" s="544" t="s">
        <v>442</v>
      </c>
      <c r="M3" s="545"/>
      <c r="O3" s="83"/>
      <c r="P3" s="83"/>
      <c r="Q3" s="83"/>
      <c r="R3" s="83"/>
      <c r="S3" s="81" t="s">
        <v>168</v>
      </c>
    </row>
    <row r="4" spans="2:20" s="2" customFormat="1" ht="20.25" customHeight="1">
      <c r="B4" s="45" t="str">
        <f>参照ﾃﾞｰﾀ!AI4</f>
        <v>＃525</v>
      </c>
      <c r="C4" s="46" t="s">
        <v>148</v>
      </c>
      <c r="D4" s="45" t="str">
        <f>参照ﾃﾞｰﾀ!AI5</f>
        <v>＃526</v>
      </c>
      <c r="E4" s="46" t="s">
        <v>74</v>
      </c>
      <c r="F4" s="45" t="str">
        <f>参照ﾃﾞｰﾀ!AI6</f>
        <v>＃527</v>
      </c>
      <c r="G4" s="46" t="s">
        <v>74</v>
      </c>
      <c r="H4" s="45" t="str">
        <f>参照ﾃﾞｰﾀ!AI7</f>
        <v>＃528</v>
      </c>
      <c r="I4" s="46" t="s">
        <v>292</v>
      </c>
      <c r="J4" s="45" t="str">
        <f>参照ﾃﾞｰﾀ!AI8</f>
        <v>＃529</v>
      </c>
      <c r="K4" s="46" t="s">
        <v>47</v>
      </c>
      <c r="L4" s="45" t="str">
        <f>参照ﾃﾞｰﾀ!AI9</f>
        <v>＃530</v>
      </c>
      <c r="M4" s="47" t="s">
        <v>201</v>
      </c>
      <c r="O4" s="84"/>
      <c r="P4" s="84"/>
      <c r="Q4" s="84"/>
      <c r="R4" s="84"/>
      <c r="S4" s="84"/>
      <c r="T4" s="85"/>
    </row>
    <row r="5" spans="2:20" s="43" customFormat="1" ht="46.5" customHeight="1">
      <c r="B5" s="536">
        <f>参照ﾃﾞｰﾀ!$T4</f>
        <v>43485</v>
      </c>
      <c r="C5" s="537"/>
      <c r="D5" s="536">
        <f>参照ﾃﾞｰﾀ!$T5</f>
        <v>43513</v>
      </c>
      <c r="E5" s="537"/>
      <c r="F5" s="536">
        <f>参照ﾃﾞｰﾀ!$T6</f>
        <v>43541</v>
      </c>
      <c r="G5" s="537"/>
      <c r="H5" s="536">
        <f>参照ﾃﾞｰﾀ!$T7</f>
        <v>43211</v>
      </c>
      <c r="I5" s="537"/>
      <c r="J5" s="536">
        <f>参照ﾃﾞｰﾀ!$T8</f>
        <v>43239</v>
      </c>
      <c r="K5" s="537"/>
      <c r="L5" s="536">
        <f>参照ﾃﾞｰﾀ!T9</f>
        <v>43632</v>
      </c>
      <c r="M5" s="537"/>
      <c r="O5" s="539" t="s">
        <v>169</v>
      </c>
      <c r="P5" s="540"/>
      <c r="Q5" s="86" t="s">
        <v>52</v>
      </c>
      <c r="R5" s="86" t="s">
        <v>170</v>
      </c>
      <c r="S5" s="86" t="s">
        <v>171</v>
      </c>
      <c r="T5" s="85"/>
    </row>
    <row r="6" spans="2:20" s="2" customFormat="1" ht="21" customHeight="1">
      <c r="B6" s="48" t="s">
        <v>131</v>
      </c>
      <c r="C6" s="49" t="s">
        <v>90</v>
      </c>
      <c r="D6" s="48" t="s">
        <v>131</v>
      </c>
      <c r="E6" s="49" t="s">
        <v>90</v>
      </c>
      <c r="F6" s="48" t="s">
        <v>131</v>
      </c>
      <c r="G6" s="49" t="s">
        <v>90</v>
      </c>
      <c r="H6" s="48" t="s">
        <v>131</v>
      </c>
      <c r="I6" s="49" t="s">
        <v>90</v>
      </c>
      <c r="J6" s="48" t="s">
        <v>131</v>
      </c>
      <c r="K6" s="49" t="s">
        <v>90</v>
      </c>
      <c r="L6" s="48" t="s">
        <v>131</v>
      </c>
      <c r="M6" s="49" t="s">
        <v>90</v>
      </c>
      <c r="O6" s="87" t="s">
        <v>172</v>
      </c>
      <c r="P6" s="138">
        <f>参照ﾃﾞｰﾀ!AJ4</f>
        <v>43485</v>
      </c>
      <c r="Q6" s="138" t="str">
        <f>参照ﾃﾞｰﾀ!AK4</f>
        <v>K</v>
      </c>
      <c r="R6" s="138" t="str">
        <f>参照ﾃﾞｰﾀ!AL4</f>
        <v>はやとり</v>
      </c>
      <c r="S6" s="138" t="str">
        <f>参照ﾃﾞｰﾀ!AM4</f>
        <v>アルファ</v>
      </c>
      <c r="T6" s="82"/>
    </row>
    <row r="7" spans="2:20" s="2" customFormat="1" ht="18" customHeight="1">
      <c r="B7" s="50" t="s">
        <v>312</v>
      </c>
      <c r="C7" s="51" t="s">
        <v>310</v>
      </c>
      <c r="D7" s="50" t="s">
        <v>320</v>
      </c>
      <c r="E7" s="51" t="s">
        <v>321</v>
      </c>
      <c r="F7" s="50" t="s">
        <v>328</v>
      </c>
      <c r="G7" s="52" t="s">
        <v>329</v>
      </c>
      <c r="H7" s="53" t="s">
        <v>339</v>
      </c>
      <c r="I7" s="51" t="s">
        <v>337</v>
      </c>
      <c r="J7" s="53" t="s">
        <v>343</v>
      </c>
      <c r="K7" s="51" t="s">
        <v>341</v>
      </c>
      <c r="L7" s="50" t="s">
        <v>348</v>
      </c>
      <c r="M7" s="51" t="s">
        <v>350</v>
      </c>
      <c r="O7" s="87" t="s">
        <v>173</v>
      </c>
      <c r="P7" s="138">
        <f>参照ﾃﾞｰﾀ!AJ5</f>
        <v>43513</v>
      </c>
      <c r="Q7" s="138" t="str">
        <f>参照ﾃﾞｰﾀ!AK5</f>
        <v>E</v>
      </c>
      <c r="R7" s="390" t="str">
        <f>参照ﾃﾞｰﾀ!AL5</f>
        <v>テティス</v>
      </c>
      <c r="S7" s="88"/>
      <c r="T7" s="82"/>
    </row>
    <row r="8" spans="2:20" s="2" customFormat="1" ht="18" customHeight="1">
      <c r="B8" s="54" t="s">
        <v>313</v>
      </c>
      <c r="C8" s="55" t="s">
        <v>311</v>
      </c>
      <c r="D8" s="54" t="s">
        <v>322</v>
      </c>
      <c r="E8" s="51" t="s">
        <v>321</v>
      </c>
      <c r="F8" s="54" t="s">
        <v>330</v>
      </c>
      <c r="G8" s="55" t="s">
        <v>329</v>
      </c>
      <c r="H8" s="56" t="s">
        <v>340</v>
      </c>
      <c r="I8" s="51" t="s">
        <v>338</v>
      </c>
      <c r="J8" s="56" t="s">
        <v>345</v>
      </c>
      <c r="K8" s="55" t="s">
        <v>341</v>
      </c>
      <c r="L8" s="54" t="s">
        <v>349</v>
      </c>
      <c r="M8" s="55" t="s">
        <v>351</v>
      </c>
      <c r="O8" s="87" t="s">
        <v>174</v>
      </c>
      <c r="P8" s="138">
        <f>参照ﾃﾞｰﾀ!AJ6</f>
        <v>43541</v>
      </c>
      <c r="Q8" s="138" t="str">
        <f>参照ﾃﾞｰﾀ!AK6</f>
        <v>H</v>
      </c>
      <c r="R8" s="390" t="str">
        <f>参照ﾃﾞｰﾀ!AL6</f>
        <v>フェニックス</v>
      </c>
      <c r="S8" s="88"/>
      <c r="T8" s="82"/>
    </row>
    <row r="9" spans="2:20" s="2" customFormat="1" ht="18" customHeight="1">
      <c r="B9" s="57" t="s">
        <v>314</v>
      </c>
      <c r="C9" s="55" t="s">
        <v>315</v>
      </c>
      <c r="D9" s="57" t="s">
        <v>325</v>
      </c>
      <c r="E9" s="51" t="s">
        <v>321</v>
      </c>
      <c r="F9" s="54" t="s">
        <v>331</v>
      </c>
      <c r="G9" s="55" t="s">
        <v>329</v>
      </c>
      <c r="H9" s="57"/>
      <c r="I9" s="55"/>
      <c r="J9" s="58" t="s">
        <v>347</v>
      </c>
      <c r="K9" s="55" t="s">
        <v>341</v>
      </c>
      <c r="L9" s="57"/>
      <c r="M9" s="55"/>
      <c r="O9" s="87" t="s">
        <v>175</v>
      </c>
      <c r="P9" s="138">
        <f>参照ﾃﾞｰﾀ!AJ7</f>
        <v>43211</v>
      </c>
      <c r="Q9" s="138" t="str">
        <f>参照ﾃﾞｰﾀ!AK7</f>
        <v>Eまたは合同</v>
      </c>
      <c r="R9" s="390" t="str">
        <f>参照ﾃﾞｰﾀ!AL7</f>
        <v>かまくら</v>
      </c>
      <c r="S9" s="88"/>
      <c r="T9" s="82"/>
    </row>
    <row r="10" spans="2:20" s="2" customFormat="1" ht="18" customHeight="1">
      <c r="B10" s="57"/>
      <c r="C10" s="55"/>
      <c r="D10" s="57" t="s">
        <v>326</v>
      </c>
      <c r="E10" s="51" t="s">
        <v>327</v>
      </c>
      <c r="F10" s="54" t="s">
        <v>332</v>
      </c>
      <c r="G10" s="55" t="s">
        <v>329</v>
      </c>
      <c r="H10" s="58"/>
      <c r="I10" s="55"/>
      <c r="J10" s="58"/>
      <c r="K10" s="55" t="s">
        <v>341</v>
      </c>
      <c r="L10" s="57"/>
      <c r="M10" s="55"/>
      <c r="O10" s="87" t="s">
        <v>176</v>
      </c>
      <c r="P10" s="138">
        <f>参照ﾃﾞｰﾀ!AJ8</f>
        <v>43239</v>
      </c>
      <c r="Q10" s="138" t="str">
        <f>参照ﾃﾞｰﾀ!AK8</f>
        <v>初島</v>
      </c>
      <c r="R10" s="390" t="str">
        <f>参照ﾃﾞｰﾀ!AL8</f>
        <v>波勝</v>
      </c>
      <c r="S10" s="88"/>
      <c r="T10" s="82"/>
    </row>
    <row r="11" spans="2:20" s="2" customFormat="1" ht="18" customHeight="1">
      <c r="B11" s="57"/>
      <c r="C11" s="55"/>
      <c r="D11" s="57" t="s">
        <v>323</v>
      </c>
      <c r="E11" s="51" t="s">
        <v>324</v>
      </c>
      <c r="F11" s="54" t="s">
        <v>333</v>
      </c>
      <c r="G11" s="55" t="s">
        <v>329</v>
      </c>
      <c r="H11" s="58"/>
      <c r="I11" s="55"/>
      <c r="J11" s="58"/>
      <c r="K11" s="55" t="s">
        <v>341</v>
      </c>
      <c r="L11" s="57"/>
      <c r="M11" s="51"/>
      <c r="O11" s="87" t="s">
        <v>177</v>
      </c>
      <c r="P11" s="138">
        <f>参照ﾃﾞｰﾀ!AJ9</f>
        <v>43632</v>
      </c>
      <c r="Q11" s="138" t="str">
        <f>参照ﾃﾞｰﾀ!AK9</f>
        <v>E</v>
      </c>
      <c r="R11" s="390" t="str">
        <f>参照ﾃﾞｰﾀ!AL9</f>
        <v>ケロニア</v>
      </c>
      <c r="S11" s="88"/>
      <c r="T11" s="82"/>
    </row>
    <row r="12" spans="2:20" s="2" customFormat="1" ht="18" customHeight="1">
      <c r="B12" s="57"/>
      <c r="C12" s="55"/>
      <c r="D12" s="57"/>
      <c r="E12" s="51"/>
      <c r="F12" s="54" t="s">
        <v>334</v>
      </c>
      <c r="G12" s="51" t="s">
        <v>335</v>
      </c>
      <c r="H12" s="58"/>
      <c r="I12" s="55"/>
      <c r="J12" s="57" t="s">
        <v>344</v>
      </c>
      <c r="K12" s="55" t="s">
        <v>342</v>
      </c>
      <c r="L12" s="57"/>
      <c r="M12" s="55"/>
      <c r="O12" s="87" t="s">
        <v>178</v>
      </c>
      <c r="P12" s="138">
        <f>参照ﾃﾞｰﾀ!AJ10</f>
        <v>43667</v>
      </c>
      <c r="Q12" s="138" t="str">
        <f>参照ﾃﾞｰﾀ!AK10</f>
        <v>FまたはA</v>
      </c>
      <c r="R12" s="390" t="str">
        <f>参照ﾃﾞｰﾀ!AL10</f>
        <v>飛車角</v>
      </c>
      <c r="S12" s="88" t="s">
        <v>353</v>
      </c>
      <c r="T12" s="82"/>
    </row>
    <row r="13" spans="2:20" s="2" customFormat="1" ht="18" customHeight="1">
      <c r="B13" s="57"/>
      <c r="C13" s="55"/>
      <c r="D13" s="57"/>
      <c r="E13" s="55"/>
      <c r="F13" s="57"/>
      <c r="G13" s="55"/>
      <c r="H13" s="58"/>
      <c r="I13" s="55"/>
      <c r="J13" s="58"/>
      <c r="K13" s="55"/>
      <c r="L13" s="57"/>
      <c r="M13" s="55"/>
      <c r="O13" s="87" t="s">
        <v>179</v>
      </c>
      <c r="P13" s="138">
        <f>参照ﾃﾞｰﾀ!AJ11</f>
        <v>43695</v>
      </c>
      <c r="Q13" s="138" t="str">
        <f>参照ﾃﾞｰﾀ!AK11</f>
        <v>DまたはE</v>
      </c>
      <c r="R13" s="390" t="str">
        <f>参照ﾃﾞｰﾀ!AL11</f>
        <v>衣笠</v>
      </c>
      <c r="S13" s="88"/>
      <c r="T13" s="82"/>
    </row>
    <row r="14" spans="2:20" s="2" customFormat="1" ht="18" customHeight="1">
      <c r="B14" s="57"/>
      <c r="C14" s="55"/>
      <c r="D14" s="57"/>
      <c r="E14" s="55"/>
      <c r="F14" s="57"/>
      <c r="G14" s="55"/>
      <c r="H14" s="58"/>
      <c r="I14" s="55"/>
      <c r="J14" s="58"/>
      <c r="K14" s="55"/>
      <c r="L14" s="57"/>
      <c r="M14" s="55"/>
      <c r="O14" s="87" t="s">
        <v>180</v>
      </c>
      <c r="P14" s="138">
        <f>参照ﾃﾞｰﾀ!AJ12</f>
        <v>43709</v>
      </c>
      <c r="Q14" s="138" t="str">
        <f>参照ﾃﾞｰﾀ!AK12</f>
        <v>KFRランデブー</v>
      </c>
      <c r="R14" s="390" t="str">
        <f>参照ﾃﾞｰﾀ!AL12</f>
        <v>別途</v>
      </c>
      <c r="S14" s="88"/>
      <c r="T14" s="82"/>
    </row>
    <row r="15" spans="2:20" s="2" customFormat="1" ht="18" customHeight="1">
      <c r="B15" s="57"/>
      <c r="C15" s="55"/>
      <c r="D15" s="57"/>
      <c r="E15" s="55"/>
      <c r="F15" s="57"/>
      <c r="G15" s="55"/>
      <c r="H15" s="59"/>
      <c r="I15" s="55"/>
      <c r="J15" s="59"/>
      <c r="K15" s="55"/>
      <c r="L15" s="57"/>
      <c r="M15" s="55"/>
      <c r="O15" s="87" t="s">
        <v>180</v>
      </c>
      <c r="P15" s="138">
        <f>参照ﾃﾞｰﾀ!AJ13</f>
        <v>43723</v>
      </c>
      <c r="Q15" s="138" t="str">
        <f>参照ﾃﾞｰﾀ!AK13</f>
        <v>JまたはH</v>
      </c>
      <c r="R15" s="390" t="str">
        <f>参照ﾃﾞｰﾀ!AL13</f>
        <v>アイデアル</v>
      </c>
      <c r="S15" s="390">
        <f>参照ﾃﾞｰﾀ!AM13</f>
        <v>0</v>
      </c>
      <c r="T15" s="82"/>
    </row>
    <row r="16" spans="2:20" s="2" customFormat="1" ht="18" customHeight="1">
      <c r="B16" s="60"/>
      <c r="C16" s="61"/>
      <c r="D16" s="60"/>
      <c r="E16" s="61"/>
      <c r="F16" s="57"/>
      <c r="G16" s="55"/>
      <c r="H16" s="62"/>
      <c r="I16" s="61"/>
      <c r="J16" s="62"/>
      <c r="K16" s="61"/>
      <c r="L16" s="60"/>
      <c r="M16" s="61"/>
      <c r="O16" s="87" t="s">
        <v>181</v>
      </c>
      <c r="P16" s="138">
        <f>参照ﾃﾞｰﾀ!AJ14</f>
        <v>43758</v>
      </c>
      <c r="Q16" s="138" t="str">
        <f>参照ﾃﾞｰﾀ!AK14</f>
        <v>E</v>
      </c>
      <c r="R16" s="390" t="str">
        <f>参照ﾃﾞｰﾀ!AL14</f>
        <v>ネプチューン</v>
      </c>
      <c r="S16" s="88"/>
      <c r="T16" s="82"/>
    </row>
    <row r="17" spans="2:20" s="2" customFormat="1" ht="18" customHeight="1">
      <c r="B17" s="63"/>
      <c r="C17" s="64"/>
      <c r="D17" s="63"/>
      <c r="E17" s="64"/>
      <c r="F17" s="63"/>
      <c r="G17" s="64"/>
      <c r="H17" s="65"/>
      <c r="I17" s="64"/>
      <c r="J17" s="65"/>
      <c r="K17" s="64"/>
      <c r="L17" s="63"/>
      <c r="M17" s="64"/>
      <c r="O17" s="87" t="s">
        <v>182</v>
      </c>
      <c r="P17" s="138">
        <f>参照ﾃﾞｰﾀ!AJ15</f>
        <v>43786</v>
      </c>
      <c r="Q17" s="138" t="str">
        <f>参照ﾃﾞｰﾀ!AK15</f>
        <v>H</v>
      </c>
      <c r="R17" s="390" t="str">
        <f>参照ﾃﾞｰﾀ!AL15</f>
        <v>未央</v>
      </c>
      <c r="S17" s="88"/>
      <c r="T17" s="82"/>
    </row>
    <row r="18" spans="2:20" s="2" customFormat="1" ht="15.75">
      <c r="B18" s="66"/>
      <c r="C18" s="44"/>
      <c r="D18" s="44"/>
      <c r="E18" s="44"/>
      <c r="F18" s="44"/>
      <c r="G18" s="44"/>
      <c r="H18" s="44"/>
      <c r="I18" s="44"/>
      <c r="J18" s="44"/>
      <c r="K18" s="44"/>
      <c r="L18" s="44"/>
      <c r="M18" s="44"/>
      <c r="O18" s="87" t="s">
        <v>183</v>
      </c>
      <c r="P18" s="138">
        <f>参照ﾃﾞｰﾀ!AJ16</f>
        <v>43814</v>
      </c>
      <c r="Q18" s="138" t="str">
        <f>参照ﾃﾞｰﾀ!AK16</f>
        <v>E</v>
      </c>
      <c r="R18" s="390" t="str">
        <f>参照ﾃﾞｰﾀ!AL16</f>
        <v>くろしお</v>
      </c>
      <c r="S18" s="88"/>
      <c r="T18" s="82"/>
    </row>
    <row r="19" spans="2:20" s="2" customFormat="1" ht="21" customHeight="1">
      <c r="B19" s="72" t="str">
        <f>参照ﾃﾞｰﾀ!AI10</f>
        <v>＃531</v>
      </c>
      <c r="C19" s="46" t="s">
        <v>352</v>
      </c>
      <c r="D19" s="72" t="str">
        <f>参照ﾃﾞｰﾀ!AI11</f>
        <v>＃532</v>
      </c>
      <c r="E19" s="46" t="s">
        <v>74</v>
      </c>
      <c r="F19" s="72" t="str">
        <f>参照ﾃﾞｰﾀ!AI13</f>
        <v>＃534</v>
      </c>
      <c r="G19" s="92" t="s">
        <v>74</v>
      </c>
      <c r="H19" s="72" t="str">
        <f>参照ﾃﾞｰﾀ!AI14</f>
        <v>＃535</v>
      </c>
      <c r="I19" s="46" t="s">
        <v>74</v>
      </c>
      <c r="J19" s="72" t="str">
        <f>参照ﾃﾞｰﾀ!AI15</f>
        <v>＃536</v>
      </c>
      <c r="K19" s="46" t="s">
        <v>235</v>
      </c>
      <c r="L19" s="72" t="str">
        <f>参照ﾃﾞｰﾀ!AI16</f>
        <v>＃537</v>
      </c>
      <c r="M19" s="47" t="s">
        <v>426</v>
      </c>
      <c r="O19" s="91" t="s">
        <v>443</v>
      </c>
      <c r="P19" s="89"/>
      <c r="Q19" s="82"/>
      <c r="R19" s="90"/>
      <c r="S19" s="82"/>
      <c r="T19" s="82"/>
    </row>
    <row r="20" spans="2:20" s="2" customFormat="1" ht="46.5" customHeight="1">
      <c r="B20" s="536">
        <f>参照ﾃﾞｰﾀ!$T10</f>
        <v>43667</v>
      </c>
      <c r="C20" s="537"/>
      <c r="D20" s="536">
        <f>参照ﾃﾞｰﾀ!$T11</f>
        <v>43695</v>
      </c>
      <c r="E20" s="537"/>
      <c r="F20" s="536">
        <f>参照ﾃﾞｰﾀ!$T13</f>
        <v>43723</v>
      </c>
      <c r="G20" s="537"/>
      <c r="H20" s="536">
        <f>参照ﾃﾞｰﾀ!$T14</f>
        <v>43758</v>
      </c>
      <c r="I20" s="537"/>
      <c r="J20" s="536">
        <f>参照ﾃﾞｰﾀ!$T15</f>
        <v>43786</v>
      </c>
      <c r="K20" s="537"/>
      <c r="L20" s="536">
        <f>参照ﾃﾞｰﾀ!$T16</f>
        <v>43814</v>
      </c>
      <c r="M20" s="537"/>
      <c r="O20" s="434" t="s">
        <v>172</v>
      </c>
      <c r="P20" s="435">
        <v>43849</v>
      </c>
      <c r="Q20" s="435" t="s">
        <v>440</v>
      </c>
      <c r="R20" s="435" t="s">
        <v>441</v>
      </c>
      <c r="S20" s="88"/>
      <c r="T20" s="82"/>
    </row>
    <row r="21" spans="2:20" s="2" customFormat="1" ht="21" customHeight="1">
      <c r="B21" s="48" t="s">
        <v>131</v>
      </c>
      <c r="C21" s="49" t="s">
        <v>90</v>
      </c>
      <c r="D21" s="48" t="s">
        <v>131</v>
      </c>
      <c r="E21" s="49" t="s">
        <v>90</v>
      </c>
      <c r="F21" s="48" t="s">
        <v>131</v>
      </c>
      <c r="G21" s="49" t="s">
        <v>90</v>
      </c>
      <c r="H21" s="48" t="s">
        <v>131</v>
      </c>
      <c r="I21" s="49" t="s">
        <v>90</v>
      </c>
      <c r="J21" s="48" t="s">
        <v>131</v>
      </c>
      <c r="K21" s="49" t="s">
        <v>90</v>
      </c>
      <c r="L21" s="48" t="s">
        <v>131</v>
      </c>
      <c r="M21" s="49" t="s">
        <v>90</v>
      </c>
      <c r="O21" s="89"/>
      <c r="P21" s="91"/>
      <c r="Q21" s="82"/>
      <c r="R21" s="82"/>
      <c r="S21" s="82"/>
      <c r="T21" s="82"/>
    </row>
    <row r="22" spans="2:20" s="2" customFormat="1" ht="18" customHeight="1">
      <c r="B22" s="50" t="s">
        <v>359</v>
      </c>
      <c r="C22" s="51" t="s">
        <v>356</v>
      </c>
      <c r="D22" s="50" t="s">
        <v>375</v>
      </c>
      <c r="E22" s="51" t="s">
        <v>376</v>
      </c>
      <c r="F22" s="57" t="s">
        <v>406</v>
      </c>
      <c r="G22" s="55" t="s">
        <v>405</v>
      </c>
      <c r="H22" s="57" t="s">
        <v>401</v>
      </c>
      <c r="I22" s="55" t="s">
        <v>402</v>
      </c>
      <c r="J22" s="104" t="s">
        <v>421</v>
      </c>
      <c r="K22" s="55" t="s">
        <v>420</v>
      </c>
      <c r="L22" s="50" t="s">
        <v>433</v>
      </c>
      <c r="M22" s="51" t="s">
        <v>437</v>
      </c>
      <c r="O22" s="89"/>
      <c r="P22" s="85"/>
      <c r="Q22" s="82"/>
      <c r="R22" s="82"/>
      <c r="S22" s="82"/>
      <c r="T22" s="82"/>
    </row>
    <row r="23" spans="2:20" s="2" customFormat="1" ht="18" customHeight="1">
      <c r="B23" s="54" t="s">
        <v>360</v>
      </c>
      <c r="C23" s="51" t="s">
        <v>356</v>
      </c>
      <c r="D23" s="54" t="s">
        <v>377</v>
      </c>
      <c r="E23" s="55" t="s">
        <v>376</v>
      </c>
      <c r="F23" s="54" t="s">
        <v>407</v>
      </c>
      <c r="G23" s="55" t="s">
        <v>405</v>
      </c>
      <c r="H23" s="54" t="s">
        <v>403</v>
      </c>
      <c r="I23" s="55" t="s">
        <v>404</v>
      </c>
      <c r="J23" s="104" t="s">
        <v>423</v>
      </c>
      <c r="K23" s="55" t="s">
        <v>420</v>
      </c>
      <c r="L23" s="54" t="s">
        <v>434</v>
      </c>
      <c r="M23" s="51" t="s">
        <v>438</v>
      </c>
      <c r="O23" s="89"/>
      <c r="P23" s="85"/>
      <c r="Q23" s="82"/>
      <c r="R23" s="82"/>
      <c r="S23" s="82"/>
      <c r="T23" s="82"/>
    </row>
    <row r="24" spans="2:20" s="2" customFormat="1" ht="18" customHeight="1">
      <c r="B24" s="57" t="s">
        <v>361</v>
      </c>
      <c r="C24" s="55" t="s">
        <v>356</v>
      </c>
      <c r="D24" s="57" t="s">
        <v>378</v>
      </c>
      <c r="E24" s="55" t="s">
        <v>376</v>
      </c>
      <c r="F24" s="57" t="s">
        <v>408</v>
      </c>
      <c r="G24" s="55" t="s">
        <v>409</v>
      </c>
      <c r="H24" s="57"/>
      <c r="I24" s="55"/>
      <c r="J24" s="104" t="s">
        <v>422</v>
      </c>
      <c r="K24" s="55" t="s">
        <v>420</v>
      </c>
      <c r="L24" s="57" t="s">
        <v>435</v>
      </c>
      <c r="M24" s="51" t="s">
        <v>437</v>
      </c>
      <c r="O24" s="89"/>
      <c r="P24" s="85"/>
      <c r="Q24" s="82"/>
      <c r="R24" s="82"/>
      <c r="S24" s="82"/>
      <c r="T24" s="82"/>
    </row>
    <row r="25" spans="2:20" s="2" customFormat="1" ht="18" customHeight="1">
      <c r="B25" s="57" t="s">
        <v>358</v>
      </c>
      <c r="C25" s="55" t="s">
        <v>357</v>
      </c>
      <c r="D25" s="57" t="s">
        <v>379</v>
      </c>
      <c r="E25" s="51" t="s">
        <v>376</v>
      </c>
      <c r="F25" s="57"/>
      <c r="G25" s="55"/>
      <c r="H25" s="57"/>
      <c r="I25" s="55"/>
      <c r="J25" s="104" t="s">
        <v>424</v>
      </c>
      <c r="K25" s="55" t="s">
        <v>420</v>
      </c>
      <c r="L25" s="57" t="s">
        <v>436</v>
      </c>
      <c r="M25" s="51" t="s">
        <v>437</v>
      </c>
      <c r="O25" s="89"/>
      <c r="P25" s="85"/>
      <c r="Q25" s="82"/>
      <c r="R25" s="82"/>
      <c r="S25" s="82"/>
      <c r="T25" s="82"/>
    </row>
    <row r="26" spans="2:20" s="2" customFormat="1" ht="18" customHeight="1">
      <c r="B26" s="57" t="s">
        <v>364</v>
      </c>
      <c r="C26" s="55" t="s">
        <v>365</v>
      </c>
      <c r="D26" s="57"/>
      <c r="E26" s="55"/>
      <c r="F26" s="57"/>
      <c r="G26" s="55"/>
      <c r="H26" s="57"/>
      <c r="I26" s="55"/>
      <c r="J26" s="104"/>
      <c r="K26" s="55"/>
      <c r="L26" s="57"/>
      <c r="M26" s="51"/>
      <c r="O26" s="89"/>
      <c r="P26" s="85"/>
      <c r="Q26" s="82"/>
      <c r="R26" s="82"/>
      <c r="S26" s="82"/>
      <c r="T26" s="82"/>
    </row>
    <row r="27" spans="2:20" s="2" customFormat="1" ht="18" customHeight="1">
      <c r="B27" s="57" t="s">
        <v>366</v>
      </c>
      <c r="C27" s="55" t="s">
        <v>367</v>
      </c>
      <c r="D27" s="57"/>
      <c r="E27" s="55"/>
      <c r="F27" s="57"/>
      <c r="G27" s="55"/>
      <c r="H27" s="57"/>
      <c r="I27" s="55"/>
      <c r="J27" s="105"/>
      <c r="K27" s="55"/>
      <c r="L27" s="57"/>
      <c r="M27" s="51"/>
      <c r="O27" s="89"/>
      <c r="P27" s="85"/>
      <c r="Q27" s="82"/>
      <c r="R27" s="82"/>
      <c r="S27" s="82"/>
      <c r="T27" s="82"/>
    </row>
    <row r="28" spans="2:20" s="2" customFormat="1" ht="18" customHeight="1">
      <c r="B28" s="57"/>
      <c r="C28" s="55"/>
      <c r="D28" s="57"/>
      <c r="E28" s="55"/>
      <c r="F28" s="57"/>
      <c r="G28" s="55"/>
      <c r="H28" s="57"/>
      <c r="I28" s="55"/>
      <c r="J28" s="105"/>
      <c r="K28" s="55"/>
      <c r="L28" s="57"/>
      <c r="M28" s="55"/>
      <c r="O28" s="89"/>
      <c r="P28" s="85"/>
      <c r="Q28" s="82"/>
      <c r="R28" s="82"/>
      <c r="S28" s="82"/>
      <c r="T28" s="82"/>
    </row>
    <row r="29" spans="2:20" s="2" customFormat="1" ht="18" customHeight="1">
      <c r="B29" s="57"/>
      <c r="C29" s="55"/>
      <c r="D29" s="57"/>
      <c r="E29" s="55"/>
      <c r="F29" s="57"/>
      <c r="G29" s="55"/>
      <c r="H29" s="57"/>
      <c r="I29" s="55"/>
      <c r="J29" s="105"/>
      <c r="K29" s="55"/>
      <c r="L29" s="57"/>
      <c r="M29" s="55"/>
      <c r="O29" s="89"/>
      <c r="P29" s="85"/>
      <c r="Q29" s="82"/>
      <c r="R29" s="82"/>
      <c r="S29" s="82"/>
      <c r="T29" s="82"/>
    </row>
    <row r="30" spans="2:20" s="2" customFormat="1" ht="18" customHeight="1">
      <c r="B30" s="57"/>
      <c r="C30" s="55"/>
      <c r="D30" s="57"/>
      <c r="E30" s="55"/>
      <c r="F30" s="57"/>
      <c r="G30" s="55"/>
      <c r="H30" s="57"/>
      <c r="I30" s="55"/>
      <c r="J30" s="105"/>
      <c r="K30" s="55"/>
      <c r="L30" s="57"/>
      <c r="M30" s="55"/>
      <c r="O30" s="89"/>
      <c r="P30" s="85"/>
      <c r="Q30" s="82"/>
      <c r="R30" s="82"/>
      <c r="S30" s="82"/>
      <c r="T30" s="82"/>
    </row>
    <row r="31" spans="2:20" s="2" customFormat="1" ht="18" customHeight="1">
      <c r="B31" s="63"/>
      <c r="C31" s="64"/>
      <c r="D31" s="63"/>
      <c r="E31" s="64"/>
      <c r="F31" s="63"/>
      <c r="G31" s="64"/>
      <c r="H31" s="63"/>
      <c r="I31" s="64"/>
      <c r="J31" s="106"/>
      <c r="K31" s="64"/>
      <c r="L31" s="63"/>
      <c r="M31" s="64"/>
      <c r="O31" s="89"/>
      <c r="P31" s="89"/>
      <c r="Q31" s="82"/>
      <c r="R31" s="82"/>
      <c r="S31" s="82"/>
      <c r="T31" s="82"/>
    </row>
    <row r="32" spans="2:20" s="2" customFormat="1" ht="15.75">
      <c r="B32" s="66"/>
      <c r="C32" s="44"/>
      <c r="D32" s="44"/>
      <c r="E32" s="44"/>
      <c r="F32" s="44"/>
      <c r="G32" s="44"/>
      <c r="H32" s="44"/>
      <c r="I32" s="44"/>
      <c r="J32" s="44"/>
      <c r="K32" s="44"/>
      <c r="L32" s="44"/>
      <c r="M32" s="44"/>
      <c r="O32" s="85"/>
      <c r="P32" s="85"/>
      <c r="Q32" s="82"/>
      <c r="R32" s="82"/>
      <c r="S32" s="82"/>
      <c r="T32" s="82"/>
    </row>
    <row r="33" spans="2:20" s="2" customFormat="1" ht="18" customHeight="1">
      <c r="B33" s="67"/>
      <c r="C33" s="68"/>
      <c r="D33" s="44"/>
      <c r="E33" s="44"/>
      <c r="F33" s="44"/>
      <c r="G33" s="44"/>
      <c r="H33" s="44"/>
      <c r="I33" s="44"/>
      <c r="J33" s="44"/>
      <c r="K33" s="44"/>
      <c r="L33" s="535" t="s">
        <v>132</v>
      </c>
      <c r="M33" s="535"/>
      <c r="O33" s="85"/>
      <c r="P33" s="85"/>
      <c r="Q33" s="82"/>
      <c r="R33" s="82"/>
      <c r="S33" s="82"/>
      <c r="T33" s="82"/>
    </row>
    <row r="34" spans="2:20" s="2" customFormat="1" ht="15.75">
      <c r="B34" s="1"/>
      <c r="O34" s="85"/>
      <c r="P34" s="85"/>
      <c r="Q34" s="82"/>
      <c r="R34" s="82"/>
      <c r="S34" s="82"/>
      <c r="T34" s="82"/>
    </row>
  </sheetData>
  <sheetProtection algorithmName="SHA-512" hashValue="GW76LbB8HRHFMf++yiXCV5596KjH7INvxVZUpSYbAv56tRfUjdfV4c7wvUlQjpfbc1p8+ISKhKjrwuCcKm8/OA==" saltValue="ASuBQEbFbGf6W6iAFhDjSw=="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4"/>
  <dataValidations count="1">
    <dataValidation type="list" allowBlank="1" showInputMessage="1" showErrorMessage="1" sqref="C4 E4 G4 I4 K4 M4 C19 E19 G19 I19 K19 M19">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9月 (KFRランデブー)</vt:lpstr>
      <vt:lpstr>9月</vt:lpstr>
      <vt:lpstr>10月</vt:lpstr>
      <vt:lpstr>11月</vt:lpstr>
      <vt:lpstr>12月</vt:lpstr>
      <vt:lpstr>得点計</vt:lpstr>
      <vt:lpstr>ｺﾐｯﾃｨｰ</vt:lpstr>
      <vt:lpstr>参照ﾃﾞｰﾀ</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nomura</cp:lastModifiedBy>
  <cp:lastPrinted>2019-12-15T05:34:05Z</cp:lastPrinted>
  <dcterms:created xsi:type="dcterms:W3CDTF">2015-05-21T03:15:11Z</dcterms:created>
  <dcterms:modified xsi:type="dcterms:W3CDTF">2019-12-31T07:41:47Z</dcterms:modified>
</cp:coreProperties>
</file>