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nomura_master\papa\ヨット\KYC\Race Committee\Race Results\2019\2019_6_前期表彰\"/>
    </mc:Choice>
  </mc:AlternateContent>
  <workbookProtection workbookAlgorithmName="SHA-512" workbookHashValue="eEjmffLxjBcn/bbuy3kWBnRRf5cao3tONJ01SqFBI00ta0SkRRFbw5nN5huPmH9ZjBM5bEC8qGhyLjp7PG23eg==" workbookSaltValue="tEb0L1GpVarWC0KQGzATtA==" workbookSpinCount="100000" lockStructure="1"/>
  <bookViews>
    <workbookView xWindow="-120" yWindow="-120" windowWidth="20730" windowHeight="11160" tabRatio="632" activeTab="6"/>
  </bookViews>
  <sheets>
    <sheet name="1月" sheetId="13" r:id="rId1"/>
    <sheet name="2月" sheetId="23" r:id="rId2"/>
    <sheet name="3月" sheetId="24" r:id="rId3"/>
    <sheet name="4月" sheetId="25" r:id="rId4"/>
    <sheet name="5月" sheetId="26" r:id="rId5"/>
    <sheet name="6月" sheetId="27" r:id="rId6"/>
    <sheet name="得点計" sheetId="19" r:id="rId7"/>
    <sheet name="ｺﾐｯﾃｨｰ" sheetId="20" r:id="rId8"/>
    <sheet name="参照ﾃﾞｰﾀ" sheetId="2" r:id="rId9"/>
  </sheets>
  <definedNames>
    <definedName name="_xlnm._FilterDatabase" localSheetId="0" hidden="1">'1月'!$C$7:$K$21</definedName>
    <definedName name="_xlnm._FilterDatabase" localSheetId="1" hidden="1">'2月'!$C$7:$K$17</definedName>
    <definedName name="_xlnm._FilterDatabase" localSheetId="2" hidden="1">'3月'!#REF!</definedName>
    <definedName name="_xlnm._FilterDatabase" localSheetId="3" hidden="1">'4月'!$D$7:$K$23</definedName>
    <definedName name="_xlnm._FilterDatabase" localSheetId="4" hidden="1">'5月'!$C$7:$K$13</definedName>
    <definedName name="_xlnm._FilterDatabase" localSheetId="5" hidden="1">'6月'!$C$7:$K$20</definedName>
    <definedName name="_xlnm._FilterDatabase" localSheetId="6" hidden="1">得点計!$C$7:$K$26</definedName>
    <definedName name="AccessDatabase" hidden="1">"A:\フリートレース.mdb"</definedName>
    <definedName name="Button_1">"フリートレース_月別フォーマット_List"</definedName>
    <definedName name="Button_2">"フリートレース_月別フォーマット_List"</definedName>
    <definedName name="Button_3">"フリートレース_月別フォーマット_List"</definedName>
    <definedName name="Button_4">"フリートレース_月別フォーマット_List"</definedName>
    <definedName name="Button_7">"フリートレース_各艇データ__2__List"</definedName>
    <definedName name="Button_8">"フリートレース_各艇データ__2__List"</definedName>
    <definedName name="_xlnm.Print_Area" localSheetId="0">'1月'!$B$2:$Q$41</definedName>
    <definedName name="_xlnm.Print_Area" localSheetId="1">'2月'!$B$2:$Q$41</definedName>
    <definedName name="_xlnm.Print_Area" localSheetId="2">'3月'!$B$2:$Q$41</definedName>
    <definedName name="_xlnm.Print_Area" localSheetId="3">'4月'!$B$2:$Q$41</definedName>
    <definedName name="_xlnm.Print_Area" localSheetId="4">'5月'!$B$2:$Q$36</definedName>
    <definedName name="_xlnm.Print_Area" localSheetId="5">'6月'!$B$2:$Q$41</definedName>
    <definedName name="_xlnm.Print_Area" localSheetId="7">ｺﾐｯﾃｨｰ!$B$2:$M$33</definedName>
    <definedName name="_xlnm.Print_Area" localSheetId="6">得点計!$B$1:$N$48</definedName>
    <definedName name="ＴＡ">参照ﾃﾞｰﾀ!$AC$3:$AC$7</definedName>
    <definedName name="コース">参照ﾃﾞｰﾀ!$L$3:$L$15</definedName>
    <definedName name="コース・距離">参照ﾃﾞｰﾀ!$L$3:$N$15</definedName>
    <definedName name="フリートレース_各艇データ__2__List">#REF!</definedName>
    <definedName name="フリートレース_月別フォーマット_List">#REF!</definedName>
    <definedName name="レース番号">参照ﾃﾞｰﾀ!$W$3:$W$18</definedName>
    <definedName name="レース名">参照ﾃﾞｰﾀ!$Y$3:$Y$6</definedName>
    <definedName name="開催日">参照ﾃﾞｰﾀ!$T$3:$T$18</definedName>
    <definedName name="各艇データ">参照ﾃﾞｰﾀ!$C$4:$J$62</definedName>
    <definedName name="月">参照ﾃﾞｰﾀ!$R$3:$R$16</definedName>
    <definedName name="暫定">参照ﾃﾞｰﾀ!$AA$3:$AA$5</definedName>
    <definedName name="時刻">参照ﾃﾞｰﾀ!$AE$3:$AE$12</definedName>
    <definedName name="得点">参照ﾃﾞｰﾀ!$AG$3:$AG$7</definedName>
    <definedName name="年">参照ﾃﾞｰﾀ!$P$3:$P$12</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4" i="26" l="1"/>
  <c r="O16" i="26" l="1"/>
  <c r="D18" i="26" l="1"/>
  <c r="H37" i="19" l="1"/>
  <c r="D10" i="19" l="1"/>
  <c r="D9" i="19"/>
  <c r="H19" i="24" l="1"/>
  <c r="H10" i="24"/>
  <c r="F39" i="27" l="1"/>
  <c r="D23" i="23" l="1"/>
  <c r="D25" i="23"/>
  <c r="D28" i="19"/>
  <c r="D27" i="19"/>
  <c r="D24" i="19"/>
  <c r="H22" i="23"/>
  <c r="H21" i="23"/>
  <c r="H20" i="23"/>
  <c r="H18" i="23"/>
  <c r="H19" i="23"/>
  <c r="D22" i="23"/>
  <c r="O6" i="23" l="1"/>
  <c r="D18" i="19" l="1"/>
  <c r="D24" i="13" l="1"/>
  <c r="L5" i="20" l="1"/>
  <c r="F37" i="19" l="1"/>
  <c r="F40" i="27"/>
  <c r="F35" i="27"/>
  <c r="F30" i="26"/>
  <c r="F34" i="26"/>
  <c r="F39" i="25"/>
  <c r="F35" i="25"/>
  <c r="F39" i="24"/>
  <c r="F35" i="24"/>
  <c r="F39" i="23"/>
  <c r="F35" i="23"/>
  <c r="F39" i="13"/>
  <c r="F36" i="13"/>
  <c r="F35" i="13"/>
  <c r="O6" i="26"/>
  <c r="D11" i="24" l="1"/>
  <c r="H11" i="24"/>
  <c r="D16" i="24"/>
  <c r="H16" i="24"/>
  <c r="S9" i="13"/>
  <c r="T9" i="13"/>
  <c r="U9" i="13"/>
  <c r="V9" i="13"/>
  <c r="W9" i="13"/>
  <c r="X9" i="13"/>
  <c r="S10" i="13"/>
  <c r="T10" i="13"/>
  <c r="E10" i="13" s="1"/>
  <c r="U10" i="13"/>
  <c r="V10" i="13"/>
  <c r="W10" i="13"/>
  <c r="X10" i="13"/>
  <c r="S11" i="13"/>
  <c r="T11" i="13"/>
  <c r="U11" i="13"/>
  <c r="V11" i="13"/>
  <c r="W11" i="13"/>
  <c r="X11" i="13"/>
  <c r="S12" i="13"/>
  <c r="T12" i="13"/>
  <c r="U12" i="13"/>
  <c r="V12" i="13"/>
  <c r="W12" i="13"/>
  <c r="X12" i="13"/>
  <c r="S13" i="13"/>
  <c r="T13" i="13"/>
  <c r="E11" i="13" s="1"/>
  <c r="U13" i="13"/>
  <c r="V13" i="13"/>
  <c r="W13" i="13"/>
  <c r="I11" i="13" s="1"/>
  <c r="X13" i="13"/>
  <c r="S14" i="13"/>
  <c r="T14" i="13"/>
  <c r="U14" i="13"/>
  <c r="V14" i="13"/>
  <c r="W14" i="13"/>
  <c r="X14" i="13"/>
  <c r="S15" i="13"/>
  <c r="T15" i="13"/>
  <c r="U15" i="13"/>
  <c r="V15" i="13"/>
  <c r="W15" i="13"/>
  <c r="X15" i="13"/>
  <c r="S16" i="13"/>
  <c r="T16" i="13"/>
  <c r="U16" i="13"/>
  <c r="V16" i="13"/>
  <c r="W16" i="13"/>
  <c r="X16" i="13"/>
  <c r="S17" i="13"/>
  <c r="T17" i="13"/>
  <c r="U17" i="13"/>
  <c r="V17" i="13"/>
  <c r="W17" i="13"/>
  <c r="X17" i="13"/>
  <c r="S18" i="13"/>
  <c r="T18" i="13"/>
  <c r="U18" i="13"/>
  <c r="V18" i="13"/>
  <c r="W18" i="13"/>
  <c r="X18" i="13"/>
  <c r="S19" i="13"/>
  <c r="T19" i="13"/>
  <c r="U19" i="13"/>
  <c r="V19" i="13"/>
  <c r="W19" i="13"/>
  <c r="X19" i="13"/>
  <c r="S20" i="13"/>
  <c r="T20" i="13"/>
  <c r="U20" i="13"/>
  <c r="V20" i="13"/>
  <c r="W20" i="13"/>
  <c r="X20" i="13"/>
  <c r="D8" i="13"/>
  <c r="AQ5" i="2"/>
  <c r="AQ6" i="2"/>
  <c r="AQ7" i="2"/>
  <c r="AQ8" i="2"/>
  <c r="AQ9" i="2"/>
  <c r="AQ10" i="2"/>
  <c r="AQ11" i="2"/>
  <c r="AQ12" i="2"/>
  <c r="AQ13" i="2"/>
  <c r="AQ14" i="2"/>
  <c r="AQ15" i="2"/>
  <c r="AQ16" i="2"/>
  <c r="K31" i="19" l="1"/>
  <c r="H7" i="26" l="1"/>
  <c r="K15" i="19" l="1"/>
  <c r="D15" i="26"/>
  <c r="H15" i="26"/>
  <c r="D29" i="19" l="1"/>
  <c r="K28" i="19"/>
  <c r="K29" i="19"/>
  <c r="D19" i="25"/>
  <c r="D20" i="25"/>
  <c r="D21" i="25"/>
  <c r="D22" i="25"/>
  <c r="H18" i="25"/>
  <c r="H19" i="25"/>
  <c r="H22" i="25"/>
  <c r="K20" i="19" l="1"/>
  <c r="K27" i="19"/>
  <c r="K24" i="19"/>
  <c r="K30" i="19"/>
  <c r="K22" i="19" l="1"/>
  <c r="K18" i="19" l="1"/>
  <c r="H10" i="13" l="1"/>
  <c r="D10" i="13"/>
  <c r="H21" i="26" l="1"/>
  <c r="D21" i="26"/>
  <c r="H16" i="26"/>
  <c r="D16" i="26"/>
  <c r="H13" i="26"/>
  <c r="D13" i="26"/>
  <c r="H9" i="26"/>
  <c r="D9" i="26"/>
  <c r="H10" i="26"/>
  <c r="D10" i="26"/>
  <c r="H8" i="26"/>
  <c r="D8" i="26"/>
  <c r="H11" i="26"/>
  <c r="D11" i="26"/>
  <c r="H12" i="26"/>
  <c r="D12" i="26"/>
  <c r="D7" i="26"/>
  <c r="D14" i="26"/>
  <c r="O6" i="25"/>
  <c r="N3" i="24"/>
  <c r="N3" i="23"/>
  <c r="N20" i="23" l="1"/>
  <c r="N22" i="23"/>
  <c r="N18" i="23"/>
  <c r="N19" i="23"/>
  <c r="N21" i="23"/>
  <c r="N16" i="26"/>
  <c r="N19" i="25"/>
  <c r="N22" i="25"/>
  <c r="N18" i="25"/>
  <c r="N11" i="26"/>
  <c r="N9" i="26"/>
  <c r="N13" i="26"/>
  <c r="N12" i="26"/>
  <c r="N10" i="26"/>
  <c r="N14" i="26"/>
  <c r="N15" i="26"/>
  <c r="N7" i="26"/>
  <c r="N8" i="26"/>
  <c r="H22" i="27" l="1"/>
  <c r="H21" i="27"/>
  <c r="H9" i="24" l="1"/>
  <c r="H7" i="23" l="1"/>
  <c r="D7" i="23"/>
  <c r="D12" i="23"/>
  <c r="T22" i="13"/>
  <c r="S23" i="13"/>
  <c r="U8" i="13"/>
  <c r="S15" i="20"/>
  <c r="Q7" i="20"/>
  <c r="R7" i="20"/>
  <c r="Q8" i="20"/>
  <c r="R8" i="20"/>
  <c r="Q9" i="20"/>
  <c r="R9" i="20"/>
  <c r="Q10" i="20"/>
  <c r="R10" i="20"/>
  <c r="Q11" i="20"/>
  <c r="R11" i="20"/>
  <c r="Q12" i="20"/>
  <c r="R12" i="20"/>
  <c r="Q13" i="20"/>
  <c r="R13" i="20"/>
  <c r="Q14" i="20"/>
  <c r="R14" i="20"/>
  <c r="Q15" i="20"/>
  <c r="R15" i="20"/>
  <c r="Q16" i="20"/>
  <c r="R16" i="20"/>
  <c r="Q17" i="20"/>
  <c r="R17" i="20"/>
  <c r="Q18" i="20"/>
  <c r="R18" i="20"/>
  <c r="S6" i="20"/>
  <c r="R6" i="20"/>
  <c r="Q6" i="20"/>
  <c r="K10" i="19"/>
  <c r="K7" i="19"/>
  <c r="K17" i="19"/>
  <c r="H21" i="13"/>
  <c r="H13" i="24"/>
  <c r="H8" i="24"/>
  <c r="N8" i="24" s="1"/>
  <c r="H17" i="24"/>
  <c r="H18" i="24"/>
  <c r="N19" i="24" s="1"/>
  <c r="H12" i="24"/>
  <c r="H14" i="24"/>
  <c r="H15" i="24"/>
  <c r="N17" i="24" s="1"/>
  <c r="H7" i="24"/>
  <c r="O6" i="27"/>
  <c r="AQ4" i="2"/>
  <c r="AI2" i="2"/>
  <c r="U19" i="19"/>
  <c r="R34" i="19"/>
  <c r="K21" i="19"/>
  <c r="D21" i="19"/>
  <c r="H10" i="25"/>
  <c r="X31" i="27"/>
  <c r="W31" i="27"/>
  <c r="V31" i="27"/>
  <c r="X30" i="27"/>
  <c r="W30" i="27"/>
  <c r="V30" i="27"/>
  <c r="X29" i="27"/>
  <c r="W29" i="27"/>
  <c r="V29" i="27"/>
  <c r="X28" i="27"/>
  <c r="W28" i="27"/>
  <c r="V28" i="27"/>
  <c r="X27" i="27"/>
  <c r="W27" i="27"/>
  <c r="V27" i="27"/>
  <c r="X26" i="27"/>
  <c r="W26" i="27"/>
  <c r="V26" i="27"/>
  <c r="X25" i="27"/>
  <c r="W25" i="27"/>
  <c r="V25" i="27"/>
  <c r="X24" i="27"/>
  <c r="W24" i="27"/>
  <c r="V24" i="27"/>
  <c r="X23" i="27"/>
  <c r="W23" i="27"/>
  <c r="V23" i="27"/>
  <c r="X22" i="27"/>
  <c r="W22" i="27"/>
  <c r="V22" i="27"/>
  <c r="X21" i="27"/>
  <c r="W21" i="27"/>
  <c r="V21" i="27"/>
  <c r="X20" i="27"/>
  <c r="W20" i="27"/>
  <c r="V20" i="27"/>
  <c r="X19" i="27"/>
  <c r="W19" i="27"/>
  <c r="V19" i="27"/>
  <c r="X18" i="27"/>
  <c r="W18" i="27"/>
  <c r="V18" i="27"/>
  <c r="X17" i="27"/>
  <c r="W17" i="27"/>
  <c r="V17" i="27"/>
  <c r="X16" i="27"/>
  <c r="W16" i="27"/>
  <c r="V16" i="27"/>
  <c r="X15" i="27"/>
  <c r="W15" i="27"/>
  <c r="V15" i="27"/>
  <c r="X14" i="27"/>
  <c r="W14" i="27"/>
  <c r="V14" i="27"/>
  <c r="X13" i="27"/>
  <c r="W13" i="27"/>
  <c r="V13" i="27"/>
  <c r="X12" i="27"/>
  <c r="W12" i="27"/>
  <c r="V12" i="27"/>
  <c r="X11" i="27"/>
  <c r="W11" i="27"/>
  <c r="V11" i="27"/>
  <c r="X10" i="27"/>
  <c r="W10" i="27"/>
  <c r="V10" i="27"/>
  <c r="X9" i="27"/>
  <c r="W9" i="27"/>
  <c r="V9" i="27"/>
  <c r="X8" i="27"/>
  <c r="W8" i="27"/>
  <c r="V8" i="27"/>
  <c r="X7" i="27"/>
  <c r="W7" i="27"/>
  <c r="V7" i="27"/>
  <c r="X26" i="26"/>
  <c r="W26" i="26"/>
  <c r="I26" i="26" s="1"/>
  <c r="V26" i="26"/>
  <c r="X25" i="26"/>
  <c r="W25" i="26"/>
  <c r="V25" i="26"/>
  <c r="X24" i="26"/>
  <c r="W24" i="26"/>
  <c r="V24" i="26"/>
  <c r="X23" i="26"/>
  <c r="W23" i="26"/>
  <c r="V23" i="26"/>
  <c r="X22" i="26"/>
  <c r="W22" i="26"/>
  <c r="V22" i="26"/>
  <c r="X21" i="26"/>
  <c r="W21" i="26"/>
  <c r="I21" i="26" s="1"/>
  <c r="V21" i="26"/>
  <c r="X20" i="26"/>
  <c r="W20" i="26"/>
  <c r="V20" i="26"/>
  <c r="X19" i="26"/>
  <c r="W19" i="26"/>
  <c r="V19" i="26"/>
  <c r="X18" i="26"/>
  <c r="W18" i="26"/>
  <c r="V18" i="26"/>
  <c r="X17" i="26"/>
  <c r="W17" i="26"/>
  <c r="V17" i="26"/>
  <c r="X16" i="26"/>
  <c r="W16" i="26"/>
  <c r="V16" i="26"/>
  <c r="X15" i="26"/>
  <c r="W15" i="26"/>
  <c r="I16" i="26" s="1"/>
  <c r="V15" i="26"/>
  <c r="X14" i="26"/>
  <c r="W14" i="26"/>
  <c r="I12" i="26" s="1"/>
  <c r="V14" i="26"/>
  <c r="X13" i="26"/>
  <c r="W13" i="26"/>
  <c r="V13" i="26"/>
  <c r="X12" i="26"/>
  <c r="W12" i="26"/>
  <c r="V12" i="26"/>
  <c r="X11" i="26"/>
  <c r="W11" i="26"/>
  <c r="I14" i="26" s="1"/>
  <c r="V11" i="26"/>
  <c r="X10" i="26"/>
  <c r="W10" i="26"/>
  <c r="V10" i="26"/>
  <c r="X9" i="26"/>
  <c r="W9" i="26"/>
  <c r="I9" i="26" s="1"/>
  <c r="V9" i="26"/>
  <c r="X8" i="26"/>
  <c r="W8" i="26"/>
  <c r="I8" i="26" s="1"/>
  <c r="V8" i="26"/>
  <c r="X7" i="26"/>
  <c r="W7" i="26"/>
  <c r="I7" i="26" s="1"/>
  <c r="K7" i="26" s="1"/>
  <c r="L7" i="26" s="1"/>
  <c r="V7" i="26"/>
  <c r="Y31" i="25"/>
  <c r="X31" i="25"/>
  <c r="W31" i="25"/>
  <c r="Y30" i="25"/>
  <c r="X30" i="25"/>
  <c r="W30" i="25"/>
  <c r="Y29" i="25"/>
  <c r="X29" i="25"/>
  <c r="W29" i="25"/>
  <c r="Y28" i="25"/>
  <c r="X28" i="25"/>
  <c r="W28" i="25"/>
  <c r="Y27" i="25"/>
  <c r="X27" i="25"/>
  <c r="W27" i="25"/>
  <c r="Y26" i="25"/>
  <c r="X26" i="25"/>
  <c r="W26" i="25"/>
  <c r="Y25" i="25"/>
  <c r="X25" i="25"/>
  <c r="W25" i="25"/>
  <c r="Y24" i="25"/>
  <c r="X24" i="25"/>
  <c r="W24" i="25"/>
  <c r="Y23" i="25"/>
  <c r="X23" i="25"/>
  <c r="W23" i="25"/>
  <c r="Y22" i="25"/>
  <c r="X22" i="25"/>
  <c r="W22" i="25"/>
  <c r="Y21" i="25"/>
  <c r="X21" i="25"/>
  <c r="W21" i="25"/>
  <c r="Y20" i="25"/>
  <c r="X20" i="25"/>
  <c r="W20" i="25"/>
  <c r="Y19" i="25"/>
  <c r="X19" i="25"/>
  <c r="W19" i="25"/>
  <c r="Y18" i="25"/>
  <c r="X18" i="25"/>
  <c r="W18" i="25"/>
  <c r="Y17" i="25"/>
  <c r="X17" i="25"/>
  <c r="W17" i="25"/>
  <c r="Y16" i="25"/>
  <c r="X16" i="25"/>
  <c r="I16" i="25" s="1"/>
  <c r="W16" i="25"/>
  <c r="Y15" i="25"/>
  <c r="X15" i="25"/>
  <c r="W15" i="25"/>
  <c r="Y14" i="25"/>
  <c r="X14" i="25"/>
  <c r="W14" i="25"/>
  <c r="Y13" i="25"/>
  <c r="X13" i="25"/>
  <c r="W13" i="25"/>
  <c r="Y11" i="25"/>
  <c r="X11" i="25"/>
  <c r="W11" i="25"/>
  <c r="Y10" i="25"/>
  <c r="X10" i="25"/>
  <c r="W10" i="25"/>
  <c r="Y9" i="25"/>
  <c r="X9" i="25"/>
  <c r="W9" i="25"/>
  <c r="Y8" i="25"/>
  <c r="X8" i="25"/>
  <c r="I8" i="25" s="1"/>
  <c r="W8" i="25"/>
  <c r="Y7" i="25"/>
  <c r="X7" i="25"/>
  <c r="W7" i="25"/>
  <c r="Y31" i="24"/>
  <c r="X31" i="24"/>
  <c r="W31" i="24"/>
  <c r="Y30" i="24"/>
  <c r="X30" i="24"/>
  <c r="W30" i="24"/>
  <c r="Y29" i="24"/>
  <c r="X29" i="24"/>
  <c r="W29" i="24"/>
  <c r="Y28" i="24"/>
  <c r="X28" i="24"/>
  <c r="W28" i="24"/>
  <c r="Y27" i="24"/>
  <c r="X27" i="24"/>
  <c r="W27" i="24"/>
  <c r="Y26" i="24"/>
  <c r="X26" i="24"/>
  <c r="W26" i="24"/>
  <c r="Y25" i="24"/>
  <c r="X25" i="24"/>
  <c r="W25" i="24"/>
  <c r="Y24" i="24"/>
  <c r="X24" i="24"/>
  <c r="W24" i="24"/>
  <c r="Y23" i="24"/>
  <c r="X23" i="24"/>
  <c r="W23" i="24"/>
  <c r="Y22" i="24"/>
  <c r="X22" i="24"/>
  <c r="W22" i="24"/>
  <c r="Y21" i="24"/>
  <c r="X21" i="24"/>
  <c r="W21" i="24"/>
  <c r="Y20" i="24"/>
  <c r="X20" i="24"/>
  <c r="W20" i="24"/>
  <c r="Y19" i="24"/>
  <c r="X19" i="24"/>
  <c r="W19" i="24"/>
  <c r="Y18" i="24"/>
  <c r="X18" i="24"/>
  <c r="W18" i="24"/>
  <c r="Y17" i="24"/>
  <c r="X17" i="24"/>
  <c r="W17" i="24"/>
  <c r="Y16" i="24"/>
  <c r="X16" i="24"/>
  <c r="W16" i="24"/>
  <c r="Y15" i="24"/>
  <c r="X15" i="24"/>
  <c r="W15" i="24"/>
  <c r="Y14" i="24"/>
  <c r="X14" i="24"/>
  <c r="W14" i="24"/>
  <c r="Y13" i="24"/>
  <c r="X13" i="24"/>
  <c r="W13" i="24"/>
  <c r="Y12" i="24"/>
  <c r="X12" i="24"/>
  <c r="W12" i="24"/>
  <c r="Y11" i="24"/>
  <c r="X11" i="24"/>
  <c r="W11" i="24"/>
  <c r="Y10" i="24"/>
  <c r="X10" i="24"/>
  <c r="I10" i="24" s="1"/>
  <c r="K10" i="24" s="1"/>
  <c r="W10" i="24"/>
  <c r="Y9" i="24"/>
  <c r="X9" i="24"/>
  <c r="W9" i="24"/>
  <c r="Y8" i="24"/>
  <c r="X8" i="24"/>
  <c r="W8" i="24"/>
  <c r="Y7" i="24"/>
  <c r="X7" i="24"/>
  <c r="W7" i="24"/>
  <c r="U31" i="27"/>
  <c r="T31" i="27"/>
  <c r="S31" i="27"/>
  <c r="U30" i="27"/>
  <c r="T30" i="27"/>
  <c r="S30" i="27"/>
  <c r="U29" i="27"/>
  <c r="T29" i="27"/>
  <c r="S29" i="27"/>
  <c r="U28" i="27"/>
  <c r="T28" i="27"/>
  <c r="S28" i="27"/>
  <c r="U27" i="27"/>
  <c r="T27" i="27"/>
  <c r="S27" i="27"/>
  <c r="U26" i="27"/>
  <c r="T26" i="27"/>
  <c r="S26" i="27"/>
  <c r="U25" i="27"/>
  <c r="T25" i="27"/>
  <c r="S25" i="27"/>
  <c r="U24" i="27"/>
  <c r="T24" i="27"/>
  <c r="S24" i="27"/>
  <c r="U23" i="27"/>
  <c r="T23" i="27"/>
  <c r="S23" i="27"/>
  <c r="U22" i="27"/>
  <c r="T22" i="27"/>
  <c r="S22" i="27"/>
  <c r="U21" i="27"/>
  <c r="T21" i="27"/>
  <c r="S21" i="27"/>
  <c r="U20" i="27"/>
  <c r="T20" i="27"/>
  <c r="S20" i="27"/>
  <c r="U19" i="27"/>
  <c r="T19" i="27"/>
  <c r="S19" i="27"/>
  <c r="U18" i="27"/>
  <c r="T18" i="27"/>
  <c r="S18" i="27"/>
  <c r="U17" i="27"/>
  <c r="T17" i="27"/>
  <c r="S17" i="27"/>
  <c r="U16" i="27"/>
  <c r="T16" i="27"/>
  <c r="S16" i="27"/>
  <c r="U15" i="27"/>
  <c r="T15" i="27"/>
  <c r="S15" i="27"/>
  <c r="U14" i="27"/>
  <c r="T14" i="27"/>
  <c r="S14" i="27"/>
  <c r="U13" i="27"/>
  <c r="T13" i="27"/>
  <c r="S13" i="27"/>
  <c r="U12" i="27"/>
  <c r="T12" i="27"/>
  <c r="S12" i="27"/>
  <c r="E13" i="27" s="1"/>
  <c r="U11" i="27"/>
  <c r="T11" i="27"/>
  <c r="S11" i="27"/>
  <c r="U10" i="27"/>
  <c r="T10" i="27"/>
  <c r="S10" i="27"/>
  <c r="U9" i="27"/>
  <c r="T9" i="27"/>
  <c r="S9" i="27"/>
  <c r="U8" i="27"/>
  <c r="T8" i="27"/>
  <c r="S8" i="27"/>
  <c r="U7" i="27"/>
  <c r="T7" i="27"/>
  <c r="S7" i="27"/>
  <c r="U26" i="26"/>
  <c r="T26" i="26"/>
  <c r="S26" i="26"/>
  <c r="U25" i="26"/>
  <c r="T25" i="26"/>
  <c r="S25" i="26"/>
  <c r="U24" i="26"/>
  <c r="T24" i="26"/>
  <c r="S24" i="26"/>
  <c r="U23" i="26"/>
  <c r="T23" i="26"/>
  <c r="S23" i="26"/>
  <c r="U22" i="26"/>
  <c r="T22" i="26"/>
  <c r="S22" i="26"/>
  <c r="U21" i="26"/>
  <c r="T21" i="26"/>
  <c r="E21" i="26" s="1"/>
  <c r="S21" i="26"/>
  <c r="U20" i="26"/>
  <c r="T20" i="26"/>
  <c r="S20" i="26"/>
  <c r="U19" i="26"/>
  <c r="T19" i="26"/>
  <c r="S19" i="26"/>
  <c r="U18" i="26"/>
  <c r="T18" i="26"/>
  <c r="S18" i="26"/>
  <c r="U17" i="26"/>
  <c r="T17" i="26"/>
  <c r="S17" i="26"/>
  <c r="U16" i="26"/>
  <c r="T16" i="26"/>
  <c r="S16" i="26"/>
  <c r="U15" i="26"/>
  <c r="T15" i="26"/>
  <c r="S15" i="26"/>
  <c r="U14" i="26"/>
  <c r="T14" i="26"/>
  <c r="S14" i="26"/>
  <c r="U13" i="26"/>
  <c r="T13" i="26"/>
  <c r="S13" i="26"/>
  <c r="U12" i="26"/>
  <c r="T12" i="26"/>
  <c r="S12" i="26"/>
  <c r="U11" i="26"/>
  <c r="T11" i="26"/>
  <c r="S11" i="26"/>
  <c r="U10" i="26"/>
  <c r="T10" i="26"/>
  <c r="S10" i="26"/>
  <c r="U9" i="26"/>
  <c r="T9" i="26"/>
  <c r="E9" i="26" s="1"/>
  <c r="S9" i="26"/>
  <c r="U8" i="26"/>
  <c r="T8" i="26"/>
  <c r="E8" i="26" s="1"/>
  <c r="S8" i="26"/>
  <c r="U7" i="26"/>
  <c r="T7" i="26"/>
  <c r="E7" i="26" s="1"/>
  <c r="S7" i="26"/>
  <c r="V31" i="25"/>
  <c r="U31" i="25"/>
  <c r="T31" i="25"/>
  <c r="V30" i="25"/>
  <c r="U30" i="25"/>
  <c r="T30" i="25"/>
  <c r="V29" i="25"/>
  <c r="U29" i="25"/>
  <c r="T29" i="25"/>
  <c r="V28" i="25"/>
  <c r="U28" i="25"/>
  <c r="T28" i="25"/>
  <c r="V27" i="25"/>
  <c r="U27" i="25"/>
  <c r="T27" i="25"/>
  <c r="V26" i="25"/>
  <c r="U26" i="25"/>
  <c r="T26" i="25"/>
  <c r="V25" i="25"/>
  <c r="U25" i="25"/>
  <c r="T25" i="25"/>
  <c r="V24" i="25"/>
  <c r="U24" i="25"/>
  <c r="T24" i="25"/>
  <c r="V23" i="25"/>
  <c r="U23" i="25"/>
  <c r="T23" i="25"/>
  <c r="V22" i="25"/>
  <c r="U22" i="25"/>
  <c r="T22" i="25"/>
  <c r="V21" i="25"/>
  <c r="U21" i="25"/>
  <c r="T21" i="25"/>
  <c r="V20" i="25"/>
  <c r="U20" i="25"/>
  <c r="T20" i="25"/>
  <c r="V19" i="25"/>
  <c r="U19" i="25"/>
  <c r="E19" i="25" s="1"/>
  <c r="T19" i="25"/>
  <c r="V18" i="25"/>
  <c r="U18" i="25"/>
  <c r="T18" i="25"/>
  <c r="V17" i="25"/>
  <c r="U17" i="25"/>
  <c r="T17" i="25"/>
  <c r="V16" i="25"/>
  <c r="U16" i="25"/>
  <c r="T16" i="25"/>
  <c r="V15" i="25"/>
  <c r="U15" i="25"/>
  <c r="T15" i="25"/>
  <c r="V14" i="25"/>
  <c r="U14" i="25"/>
  <c r="T14" i="25"/>
  <c r="V13" i="25"/>
  <c r="U13" i="25"/>
  <c r="T13" i="25"/>
  <c r="V11" i="25"/>
  <c r="U11" i="25"/>
  <c r="T11" i="25"/>
  <c r="V10" i="25"/>
  <c r="U10" i="25"/>
  <c r="T10" i="25"/>
  <c r="V9" i="25"/>
  <c r="U9" i="25"/>
  <c r="T9" i="25"/>
  <c r="V8" i="25"/>
  <c r="U8" i="25"/>
  <c r="T8" i="25"/>
  <c r="V7" i="25"/>
  <c r="U7" i="25"/>
  <c r="T7" i="25"/>
  <c r="V31" i="24"/>
  <c r="U31" i="24"/>
  <c r="T31" i="24"/>
  <c r="V30" i="24"/>
  <c r="U30" i="24"/>
  <c r="T30" i="24"/>
  <c r="V29" i="24"/>
  <c r="U29" i="24"/>
  <c r="T29" i="24"/>
  <c r="V28" i="24"/>
  <c r="U28" i="24"/>
  <c r="T28" i="24"/>
  <c r="V27" i="24"/>
  <c r="U27" i="24"/>
  <c r="T27" i="24"/>
  <c r="V26" i="24"/>
  <c r="U26" i="24"/>
  <c r="T26" i="24"/>
  <c r="V25" i="24"/>
  <c r="U25" i="24"/>
  <c r="T25" i="24"/>
  <c r="V24" i="24"/>
  <c r="U24" i="24"/>
  <c r="T24" i="24"/>
  <c r="V23" i="24"/>
  <c r="U23" i="24"/>
  <c r="T23" i="24"/>
  <c r="V22" i="24"/>
  <c r="U22" i="24"/>
  <c r="T22" i="24"/>
  <c r="V21" i="24"/>
  <c r="U21" i="24"/>
  <c r="T21" i="24"/>
  <c r="V20" i="24"/>
  <c r="U20" i="24"/>
  <c r="T20" i="24"/>
  <c r="V19" i="24"/>
  <c r="U19" i="24"/>
  <c r="T19" i="24"/>
  <c r="V18" i="24"/>
  <c r="U18" i="24"/>
  <c r="T18" i="24"/>
  <c r="V17" i="24"/>
  <c r="U17" i="24"/>
  <c r="T17" i="24"/>
  <c r="V16" i="24"/>
  <c r="U16" i="24"/>
  <c r="T16" i="24"/>
  <c r="V15" i="24"/>
  <c r="U15" i="24"/>
  <c r="T15" i="24"/>
  <c r="V14" i="24"/>
  <c r="U14" i="24"/>
  <c r="T14" i="24"/>
  <c r="V13" i="24"/>
  <c r="U13" i="24"/>
  <c r="T13" i="24"/>
  <c r="V12" i="24"/>
  <c r="U12" i="24"/>
  <c r="T12" i="24"/>
  <c r="V11" i="24"/>
  <c r="U11" i="24"/>
  <c r="T11" i="24"/>
  <c r="V10" i="24"/>
  <c r="U10" i="24"/>
  <c r="T10" i="24"/>
  <c r="V9" i="24"/>
  <c r="U9" i="24"/>
  <c r="T9" i="24"/>
  <c r="V8" i="24"/>
  <c r="U8" i="24"/>
  <c r="T8" i="24"/>
  <c r="V7" i="24"/>
  <c r="U7" i="24"/>
  <c r="T7" i="24"/>
  <c r="V31" i="23"/>
  <c r="U31" i="23"/>
  <c r="T31" i="23"/>
  <c r="V30" i="23"/>
  <c r="U30" i="23"/>
  <c r="T30" i="23"/>
  <c r="V29" i="23"/>
  <c r="U29" i="23"/>
  <c r="T29" i="23"/>
  <c r="V28" i="23"/>
  <c r="U28" i="23"/>
  <c r="T28" i="23"/>
  <c r="V27" i="23"/>
  <c r="U27" i="23"/>
  <c r="T27" i="23"/>
  <c r="V26" i="23"/>
  <c r="U26" i="23"/>
  <c r="T26" i="23"/>
  <c r="V25" i="23"/>
  <c r="U25" i="23"/>
  <c r="T25" i="23"/>
  <c r="V24" i="23"/>
  <c r="U24" i="23"/>
  <c r="T24" i="23"/>
  <c r="V23" i="23"/>
  <c r="U23" i="23"/>
  <c r="T23" i="23"/>
  <c r="V22" i="23"/>
  <c r="U22" i="23"/>
  <c r="E22" i="23" s="1"/>
  <c r="T22" i="23"/>
  <c r="V21" i="23"/>
  <c r="U21" i="23"/>
  <c r="T21" i="23"/>
  <c r="V20" i="23"/>
  <c r="U20" i="23"/>
  <c r="T20" i="23"/>
  <c r="V19" i="23"/>
  <c r="U19" i="23"/>
  <c r="T19" i="23"/>
  <c r="V18" i="23"/>
  <c r="U18" i="23"/>
  <c r="T18" i="23"/>
  <c r="V17" i="23"/>
  <c r="U17" i="23"/>
  <c r="T17" i="23"/>
  <c r="V16" i="23"/>
  <c r="U16" i="23"/>
  <c r="T16" i="23"/>
  <c r="V15" i="23"/>
  <c r="U15" i="23"/>
  <c r="T15" i="23"/>
  <c r="V14" i="23"/>
  <c r="U14" i="23"/>
  <c r="T14" i="23"/>
  <c r="V13" i="23"/>
  <c r="U13" i="23"/>
  <c r="T13" i="23"/>
  <c r="V12" i="23"/>
  <c r="U12" i="23"/>
  <c r="T12" i="23"/>
  <c r="V11" i="23"/>
  <c r="U11" i="23"/>
  <c r="T11" i="23"/>
  <c r="V10" i="23"/>
  <c r="U10" i="23"/>
  <c r="T10" i="23"/>
  <c r="V9" i="23"/>
  <c r="U9" i="23"/>
  <c r="T9" i="23"/>
  <c r="V8" i="23"/>
  <c r="U8" i="23"/>
  <c r="T8" i="23"/>
  <c r="V7" i="23"/>
  <c r="U7" i="23"/>
  <c r="T7" i="23"/>
  <c r="Y31" i="23"/>
  <c r="X31" i="23"/>
  <c r="W31" i="23"/>
  <c r="Y30" i="23"/>
  <c r="X30" i="23"/>
  <c r="W30" i="23"/>
  <c r="Y29" i="23"/>
  <c r="X29" i="23"/>
  <c r="W29" i="23"/>
  <c r="Y28" i="23"/>
  <c r="X28" i="23"/>
  <c r="W28" i="23"/>
  <c r="Y27" i="23"/>
  <c r="X27" i="23"/>
  <c r="W27" i="23"/>
  <c r="Y26" i="23"/>
  <c r="X26" i="23"/>
  <c r="W26" i="23"/>
  <c r="Y25" i="23"/>
  <c r="X25" i="23"/>
  <c r="W25" i="23"/>
  <c r="Y24" i="23"/>
  <c r="X24" i="23"/>
  <c r="W24" i="23"/>
  <c r="Y23" i="23"/>
  <c r="X23" i="23"/>
  <c r="W23" i="23"/>
  <c r="Y22" i="23"/>
  <c r="X22" i="23"/>
  <c r="I22" i="23" s="1"/>
  <c r="K22" i="23" s="1"/>
  <c r="W22" i="23"/>
  <c r="Y21" i="23"/>
  <c r="X21" i="23"/>
  <c r="I21" i="23" s="1"/>
  <c r="K21" i="23" s="1"/>
  <c r="W21" i="23"/>
  <c r="Y20" i="23"/>
  <c r="X20" i="23"/>
  <c r="I20" i="23" s="1"/>
  <c r="K20" i="23" s="1"/>
  <c r="W20" i="23"/>
  <c r="Y19" i="23"/>
  <c r="X19" i="23"/>
  <c r="I19" i="23" s="1"/>
  <c r="K19" i="23" s="1"/>
  <c r="W19" i="23"/>
  <c r="Y18" i="23"/>
  <c r="X18" i="23"/>
  <c r="I18" i="23" s="1"/>
  <c r="K18" i="23" s="1"/>
  <c r="W18" i="23"/>
  <c r="Y17" i="23"/>
  <c r="X17" i="23"/>
  <c r="W17" i="23"/>
  <c r="Y16" i="23"/>
  <c r="X16" i="23"/>
  <c r="W16" i="23"/>
  <c r="Y15" i="23"/>
  <c r="X15" i="23"/>
  <c r="W15" i="23"/>
  <c r="Y14" i="23"/>
  <c r="X14" i="23"/>
  <c r="W14" i="23"/>
  <c r="Y13" i="23"/>
  <c r="X13" i="23"/>
  <c r="W13" i="23"/>
  <c r="Y12" i="23"/>
  <c r="X12" i="23"/>
  <c r="W12" i="23"/>
  <c r="Y11" i="23"/>
  <c r="X11" i="23"/>
  <c r="W11" i="23"/>
  <c r="Y10" i="23"/>
  <c r="X10" i="23"/>
  <c r="W10" i="23"/>
  <c r="Y9" i="23"/>
  <c r="X9" i="23"/>
  <c r="W9" i="23"/>
  <c r="Y8" i="23"/>
  <c r="X8" i="23"/>
  <c r="W8" i="23"/>
  <c r="Y7" i="23"/>
  <c r="X7" i="23"/>
  <c r="W7" i="23"/>
  <c r="S8" i="13"/>
  <c r="T8" i="13"/>
  <c r="E8" i="13" s="1"/>
  <c r="V8" i="13"/>
  <c r="W8" i="13"/>
  <c r="I8" i="13" s="1"/>
  <c r="X8" i="13"/>
  <c r="E12" i="13"/>
  <c r="S21" i="13"/>
  <c r="T21" i="13"/>
  <c r="U21" i="13"/>
  <c r="V21" i="13"/>
  <c r="W21" i="13"/>
  <c r="X21" i="13"/>
  <c r="S22" i="13"/>
  <c r="U22" i="13"/>
  <c r="V22" i="13"/>
  <c r="W22" i="13"/>
  <c r="X22" i="13"/>
  <c r="T23" i="13"/>
  <c r="U23" i="13"/>
  <c r="V23" i="13"/>
  <c r="W23" i="13"/>
  <c r="X23" i="13"/>
  <c r="S24" i="13"/>
  <c r="T24" i="13"/>
  <c r="U24" i="13"/>
  <c r="V24" i="13"/>
  <c r="W24" i="13"/>
  <c r="X24" i="13"/>
  <c r="S25" i="13"/>
  <c r="T25" i="13"/>
  <c r="U25" i="13"/>
  <c r="V25" i="13"/>
  <c r="W25" i="13"/>
  <c r="X25" i="13"/>
  <c r="S26" i="13"/>
  <c r="T26" i="13"/>
  <c r="U26" i="13"/>
  <c r="V26" i="13"/>
  <c r="W26" i="13"/>
  <c r="I26" i="13" s="1"/>
  <c r="X26" i="13"/>
  <c r="S27" i="13"/>
  <c r="T27" i="13"/>
  <c r="U27" i="13"/>
  <c r="V27" i="13"/>
  <c r="W27" i="13"/>
  <c r="X27" i="13"/>
  <c r="S28" i="13"/>
  <c r="T28" i="13"/>
  <c r="U28" i="13"/>
  <c r="V28" i="13"/>
  <c r="W28" i="13"/>
  <c r="X28" i="13"/>
  <c r="S29" i="13"/>
  <c r="T29" i="13"/>
  <c r="U29" i="13"/>
  <c r="V29" i="13"/>
  <c r="W29" i="13"/>
  <c r="X29" i="13"/>
  <c r="S30" i="13"/>
  <c r="T30" i="13"/>
  <c r="U30" i="13"/>
  <c r="V30" i="13"/>
  <c r="W30" i="13"/>
  <c r="X30" i="13"/>
  <c r="S31" i="13"/>
  <c r="T31" i="13"/>
  <c r="U31" i="13"/>
  <c r="V31" i="13"/>
  <c r="W31" i="13"/>
  <c r="I31" i="13" s="1"/>
  <c r="X31" i="13"/>
  <c r="U7" i="13"/>
  <c r="T7" i="13"/>
  <c r="S7" i="13"/>
  <c r="V7" i="13"/>
  <c r="X7" i="13"/>
  <c r="W7" i="13"/>
  <c r="AA36" i="19"/>
  <c r="H13" i="13"/>
  <c r="D13" i="13"/>
  <c r="H7" i="13"/>
  <c r="D7" i="13"/>
  <c r="H18" i="13"/>
  <c r="D18" i="13"/>
  <c r="H20" i="13"/>
  <c r="D20" i="13"/>
  <c r="H12" i="13"/>
  <c r="D12" i="13"/>
  <c r="H16" i="13"/>
  <c r="D16" i="13"/>
  <c r="H19" i="13"/>
  <c r="D19" i="13"/>
  <c r="H17" i="13"/>
  <c r="D17" i="13"/>
  <c r="H11" i="13"/>
  <c r="D11" i="13"/>
  <c r="H8" i="13"/>
  <c r="D14" i="13"/>
  <c r="D22" i="13"/>
  <c r="H9" i="13"/>
  <c r="D9" i="13"/>
  <c r="D21" i="13"/>
  <c r="H15" i="13"/>
  <c r="D15" i="13"/>
  <c r="N3" i="27"/>
  <c r="D13" i="27"/>
  <c r="H16" i="25"/>
  <c r="H27" i="23"/>
  <c r="N27" i="23" s="1"/>
  <c r="K14" i="19"/>
  <c r="K26" i="19"/>
  <c r="D36" i="19"/>
  <c r="D35" i="19"/>
  <c r="D34" i="19"/>
  <c r="D15" i="19"/>
  <c r="D14" i="19"/>
  <c r="D20" i="19"/>
  <c r="D26" i="19"/>
  <c r="U31" i="19"/>
  <c r="U30" i="19"/>
  <c r="U24" i="19"/>
  <c r="D13" i="24"/>
  <c r="D19" i="24"/>
  <c r="D8" i="24"/>
  <c r="D22" i="24"/>
  <c r="D23" i="24"/>
  <c r="D25" i="24"/>
  <c r="D24" i="24"/>
  <c r="D26" i="24"/>
  <c r="H22" i="24"/>
  <c r="N22" i="24" s="1"/>
  <c r="H23" i="24"/>
  <c r="N23" i="24" s="1"/>
  <c r="H25" i="24"/>
  <c r="N25" i="24" s="1"/>
  <c r="H24" i="24"/>
  <c r="H26" i="24"/>
  <c r="H28" i="24"/>
  <c r="N28" i="24" s="1"/>
  <c r="H27" i="24"/>
  <c r="N27" i="24" s="1"/>
  <c r="H29" i="24"/>
  <c r="H30" i="24"/>
  <c r="N30" i="24" s="1"/>
  <c r="H31" i="24"/>
  <c r="D12" i="24"/>
  <c r="D15" i="24"/>
  <c r="D9" i="24"/>
  <c r="D18" i="24"/>
  <c r="D20" i="24"/>
  <c r="D17" i="24"/>
  <c r="AA31" i="24"/>
  <c r="AB31" i="24"/>
  <c r="AC31" i="24"/>
  <c r="AA27" i="24"/>
  <c r="AB27" i="24"/>
  <c r="AC27" i="24"/>
  <c r="AA28" i="24"/>
  <c r="AB28" i="24"/>
  <c r="AC28" i="24"/>
  <c r="AA29" i="24"/>
  <c r="AB29" i="24"/>
  <c r="AC29" i="24"/>
  <c r="AA30" i="24"/>
  <c r="AB30" i="24"/>
  <c r="AC30" i="24"/>
  <c r="K11" i="19"/>
  <c r="K16" i="19"/>
  <c r="D11" i="23"/>
  <c r="H11" i="23"/>
  <c r="D20" i="23"/>
  <c r="H12" i="23"/>
  <c r="D15" i="23"/>
  <c r="H15" i="23"/>
  <c r="D13" i="23"/>
  <c r="H13" i="23"/>
  <c r="B5" i="20"/>
  <c r="K23" i="19"/>
  <c r="K12" i="19"/>
  <c r="K19" i="19"/>
  <c r="K25" i="19"/>
  <c r="K13" i="19"/>
  <c r="K9" i="19"/>
  <c r="J37" i="19"/>
  <c r="AB31" i="27"/>
  <c r="AA31" i="27"/>
  <c r="Z31" i="27"/>
  <c r="H31" i="27"/>
  <c r="D31" i="27"/>
  <c r="AB30" i="27"/>
  <c r="AA30" i="27"/>
  <c r="Z30" i="27"/>
  <c r="D30" i="27"/>
  <c r="AB29" i="27"/>
  <c r="AA29" i="27"/>
  <c r="Z29" i="27"/>
  <c r="D29" i="27"/>
  <c r="AB28" i="27"/>
  <c r="AA28" i="27"/>
  <c r="Z28" i="27"/>
  <c r="D28" i="27"/>
  <c r="AB27" i="27"/>
  <c r="AA27" i="27"/>
  <c r="Z27" i="27"/>
  <c r="H27" i="27"/>
  <c r="D27" i="27"/>
  <c r="AB26" i="27"/>
  <c r="AA26" i="27"/>
  <c r="Z26" i="27"/>
  <c r="O26" i="27" s="1"/>
  <c r="H26" i="27"/>
  <c r="D26" i="27"/>
  <c r="AB25" i="27"/>
  <c r="AA25" i="27"/>
  <c r="Z25" i="27"/>
  <c r="D25" i="27"/>
  <c r="AB24" i="27"/>
  <c r="AA24" i="27"/>
  <c r="Z24" i="27"/>
  <c r="AB23" i="27"/>
  <c r="AA23" i="27"/>
  <c r="Z23" i="27"/>
  <c r="D23" i="27"/>
  <c r="AB22" i="27"/>
  <c r="AA22" i="27"/>
  <c r="Z22" i="27"/>
  <c r="H13" i="27"/>
  <c r="AB21" i="27"/>
  <c r="AA21" i="27"/>
  <c r="Z21" i="27"/>
  <c r="D21" i="27"/>
  <c r="AB20" i="27"/>
  <c r="AA20" i="27"/>
  <c r="Z20" i="27"/>
  <c r="H9" i="27"/>
  <c r="D9" i="27"/>
  <c r="AB19" i="27"/>
  <c r="AA19" i="27"/>
  <c r="Z19" i="27"/>
  <c r="D22" i="27"/>
  <c r="AB18" i="27"/>
  <c r="AA18" i="27"/>
  <c r="Z18" i="27"/>
  <c r="H11" i="27"/>
  <c r="D11" i="27"/>
  <c r="AB17" i="27"/>
  <c r="AA17" i="27"/>
  <c r="Z17" i="27"/>
  <c r="H18" i="27"/>
  <c r="D18" i="27"/>
  <c r="AB16" i="27"/>
  <c r="AA16" i="27"/>
  <c r="Z16" i="27"/>
  <c r="H17" i="27"/>
  <c r="D17" i="27"/>
  <c r="AB15" i="27"/>
  <c r="AA15" i="27"/>
  <c r="Z15" i="27"/>
  <c r="H12" i="27"/>
  <c r="D12" i="27"/>
  <c r="AB14" i="27"/>
  <c r="AA14" i="27"/>
  <c r="Z14" i="27"/>
  <c r="H15" i="27"/>
  <c r="D15" i="27"/>
  <c r="AB13" i="27"/>
  <c r="AA13" i="27"/>
  <c r="Z13" i="27"/>
  <c r="H20" i="27"/>
  <c r="D20" i="27"/>
  <c r="AB12" i="27"/>
  <c r="AA12" i="27"/>
  <c r="Z12" i="27"/>
  <c r="H19" i="27"/>
  <c r="D19" i="27"/>
  <c r="AB11" i="27"/>
  <c r="AA11" i="27"/>
  <c r="Z11" i="27"/>
  <c r="H7" i="27"/>
  <c r="D7" i="27"/>
  <c r="AB10" i="27"/>
  <c r="AA10" i="27"/>
  <c r="Z10" i="27"/>
  <c r="H8" i="27"/>
  <c r="D8" i="27"/>
  <c r="AB9" i="27"/>
  <c r="AA9" i="27"/>
  <c r="Z9" i="27"/>
  <c r="H14" i="27"/>
  <c r="D14" i="27"/>
  <c r="AB8" i="27"/>
  <c r="AA8" i="27"/>
  <c r="Z8" i="27"/>
  <c r="H10" i="27"/>
  <c r="D10" i="27"/>
  <c r="AB7" i="27"/>
  <c r="AA7" i="27"/>
  <c r="Z7" i="27"/>
  <c r="H16" i="27"/>
  <c r="D16" i="27"/>
  <c r="D2" i="27"/>
  <c r="AB26" i="26"/>
  <c r="AA26" i="26"/>
  <c r="Z26" i="26"/>
  <c r="H26" i="26"/>
  <c r="N26" i="26" s="1"/>
  <c r="D26" i="26"/>
  <c r="AB25" i="26"/>
  <c r="AA25" i="26"/>
  <c r="Z25" i="26"/>
  <c r="D25" i="26"/>
  <c r="AB24" i="26"/>
  <c r="AA24" i="26"/>
  <c r="Z24" i="26"/>
  <c r="D24" i="26"/>
  <c r="AB23" i="26"/>
  <c r="AA23" i="26"/>
  <c r="Z23" i="26"/>
  <c r="D23" i="26"/>
  <c r="AB22" i="26"/>
  <c r="AA22" i="26"/>
  <c r="Z22" i="26"/>
  <c r="H22" i="26"/>
  <c r="N22" i="26" s="1"/>
  <c r="D22" i="26"/>
  <c r="AB21" i="26"/>
  <c r="AA21" i="26"/>
  <c r="Z21" i="26"/>
  <c r="AB20" i="26"/>
  <c r="AA20" i="26"/>
  <c r="Z20" i="26"/>
  <c r="AB19" i="26"/>
  <c r="AA19" i="26"/>
  <c r="Z19" i="26"/>
  <c r="AB18" i="26"/>
  <c r="AA18" i="26"/>
  <c r="Z18" i="26"/>
  <c r="AB17" i="26"/>
  <c r="AA17" i="26"/>
  <c r="Z17" i="26"/>
  <c r="AB16" i="26"/>
  <c r="AA16" i="26"/>
  <c r="Z16" i="26"/>
  <c r="AB15" i="26"/>
  <c r="AA15" i="26"/>
  <c r="Z15" i="26"/>
  <c r="AB14" i="26"/>
  <c r="AA14" i="26"/>
  <c r="Z14" i="26"/>
  <c r="AB13" i="26"/>
  <c r="AA13" i="26"/>
  <c r="Z13" i="26"/>
  <c r="AB12" i="26"/>
  <c r="AA12" i="26"/>
  <c r="Z12" i="26"/>
  <c r="AB11" i="26"/>
  <c r="AA11" i="26"/>
  <c r="Z11" i="26"/>
  <c r="AB10" i="26"/>
  <c r="AA10" i="26"/>
  <c r="Z10" i="26"/>
  <c r="AB9" i="26"/>
  <c r="AA9" i="26"/>
  <c r="Z9" i="26"/>
  <c r="AB8" i="26"/>
  <c r="AA8" i="26"/>
  <c r="Z8" i="26"/>
  <c r="AB7" i="26"/>
  <c r="O7" i="26" s="1"/>
  <c r="AA7" i="26"/>
  <c r="Z7" i="26"/>
  <c r="D2" i="26"/>
  <c r="AC31" i="25"/>
  <c r="AB31" i="25"/>
  <c r="AA31" i="25"/>
  <c r="O31" i="25" s="1"/>
  <c r="H31" i="25"/>
  <c r="D31" i="25"/>
  <c r="AC30" i="25"/>
  <c r="AB30" i="25"/>
  <c r="AA30" i="25"/>
  <c r="D30" i="25"/>
  <c r="AC29" i="25"/>
  <c r="AB29" i="25"/>
  <c r="AA29" i="25"/>
  <c r="D29" i="25"/>
  <c r="AC28" i="25"/>
  <c r="AB28" i="25"/>
  <c r="AA28" i="25"/>
  <c r="D28" i="25"/>
  <c r="AC27" i="25"/>
  <c r="AB27" i="25"/>
  <c r="AA27" i="25"/>
  <c r="H27" i="25"/>
  <c r="N27" i="25" s="1"/>
  <c r="D27" i="25"/>
  <c r="AC26" i="25"/>
  <c r="AB26" i="25"/>
  <c r="AA26" i="25"/>
  <c r="O26" i="25" s="1"/>
  <c r="H26" i="25"/>
  <c r="D26" i="25"/>
  <c r="AC25" i="25"/>
  <c r="AB25" i="25"/>
  <c r="AA25" i="25"/>
  <c r="D25" i="25"/>
  <c r="AC24" i="25"/>
  <c r="AB24" i="25"/>
  <c r="AA24" i="25"/>
  <c r="AC23" i="25"/>
  <c r="AB23" i="25"/>
  <c r="AA23" i="25"/>
  <c r="AC22" i="25"/>
  <c r="AB22" i="25"/>
  <c r="AA22" i="25"/>
  <c r="AC21" i="25"/>
  <c r="AB21" i="25"/>
  <c r="AA21" i="25"/>
  <c r="D16" i="25"/>
  <c r="AC20" i="25"/>
  <c r="AB20" i="25"/>
  <c r="AA20" i="25"/>
  <c r="H14" i="25"/>
  <c r="D14" i="25"/>
  <c r="AC19" i="25"/>
  <c r="AB19" i="25"/>
  <c r="AA19" i="25"/>
  <c r="AC18" i="25"/>
  <c r="AB18" i="25"/>
  <c r="AA18" i="25"/>
  <c r="O18" i="25" s="1"/>
  <c r="H11" i="25"/>
  <c r="D11" i="25"/>
  <c r="AC17" i="25"/>
  <c r="AB17" i="25"/>
  <c r="AA17" i="25"/>
  <c r="O17" i="25" s="1"/>
  <c r="AC16" i="25"/>
  <c r="AB16" i="25"/>
  <c r="AA16" i="25"/>
  <c r="O16" i="25" s="1"/>
  <c r="H23" i="25"/>
  <c r="D23" i="25"/>
  <c r="AC15" i="25"/>
  <c r="AB15" i="25"/>
  <c r="AA15" i="25"/>
  <c r="O15" i="25" s="1"/>
  <c r="H15" i="25"/>
  <c r="D15" i="25"/>
  <c r="AC14" i="25"/>
  <c r="AB14" i="25"/>
  <c r="AA14" i="25"/>
  <c r="O14" i="25" s="1"/>
  <c r="D18" i="25"/>
  <c r="AC13" i="25"/>
  <c r="AB13" i="25"/>
  <c r="AA13" i="25"/>
  <c r="O13" i="25" s="1"/>
  <c r="H13" i="25"/>
  <c r="D13" i="25"/>
  <c r="AC12" i="25"/>
  <c r="AB12" i="25"/>
  <c r="AA12" i="25"/>
  <c r="O12" i="25" s="1"/>
  <c r="D10" i="25"/>
  <c r="AC11" i="25"/>
  <c r="AB11" i="25"/>
  <c r="AA11" i="25"/>
  <c r="O11" i="25" s="1"/>
  <c r="H12" i="25"/>
  <c r="D12" i="25"/>
  <c r="AC10" i="25"/>
  <c r="AB10" i="25"/>
  <c r="AA10" i="25"/>
  <c r="O10" i="25" s="1"/>
  <c r="H9" i="25"/>
  <c r="N14" i="25" s="1"/>
  <c r="D9" i="25"/>
  <c r="AC9" i="25"/>
  <c r="AB9" i="25"/>
  <c r="AA9" i="25"/>
  <c r="O9" i="25" s="1"/>
  <c r="H7" i="25"/>
  <c r="D7" i="25"/>
  <c r="AC8" i="25"/>
  <c r="AB8" i="25"/>
  <c r="AA8" i="25"/>
  <c r="O8" i="25" s="1"/>
  <c r="H8" i="25"/>
  <c r="D8" i="25"/>
  <c r="AC7" i="25"/>
  <c r="AB7" i="25"/>
  <c r="AA7" i="25"/>
  <c r="O7" i="25" s="1"/>
  <c r="H17" i="25"/>
  <c r="D17" i="25"/>
  <c r="D2" i="25"/>
  <c r="AC26" i="24"/>
  <c r="AB26" i="24"/>
  <c r="AA26" i="24"/>
  <c r="AC25" i="24"/>
  <c r="AB25" i="24"/>
  <c r="AA25" i="24"/>
  <c r="AC24" i="24"/>
  <c r="AB24" i="24"/>
  <c r="AA24" i="24"/>
  <c r="AC23" i="24"/>
  <c r="AB23" i="24"/>
  <c r="AA23" i="24"/>
  <c r="AC22" i="24"/>
  <c r="AB22" i="24"/>
  <c r="AA22" i="24"/>
  <c r="AC21" i="24"/>
  <c r="AB21" i="24"/>
  <c r="AA21" i="24"/>
  <c r="AC20" i="24"/>
  <c r="AB20" i="24"/>
  <c r="AA20" i="24"/>
  <c r="AC19" i="24"/>
  <c r="AB19" i="24"/>
  <c r="O19" i="24" s="1"/>
  <c r="AA19" i="24"/>
  <c r="AC18" i="24"/>
  <c r="AB18" i="24"/>
  <c r="O18" i="24" s="1"/>
  <c r="AA18" i="24"/>
  <c r="AC17" i="24"/>
  <c r="AB17" i="24"/>
  <c r="O17" i="24" s="1"/>
  <c r="AA17" i="24"/>
  <c r="AC16" i="24"/>
  <c r="AB16" i="24"/>
  <c r="O16" i="24" s="1"/>
  <c r="AA16" i="24"/>
  <c r="AC15" i="24"/>
  <c r="AB15" i="24"/>
  <c r="O15" i="24" s="1"/>
  <c r="AA15" i="24"/>
  <c r="AC14" i="24"/>
  <c r="AB14" i="24"/>
  <c r="O14" i="24" s="1"/>
  <c r="AA14" i="24"/>
  <c r="AC13" i="24"/>
  <c r="AB13" i="24"/>
  <c r="O13" i="24" s="1"/>
  <c r="AA13" i="24"/>
  <c r="AC12" i="24"/>
  <c r="AB12" i="24"/>
  <c r="O12" i="24" s="1"/>
  <c r="AA12" i="24"/>
  <c r="AC11" i="24"/>
  <c r="AB11" i="24"/>
  <c r="O11" i="24" s="1"/>
  <c r="AA11" i="24"/>
  <c r="AC10" i="24"/>
  <c r="AB10" i="24"/>
  <c r="O10" i="24" s="1"/>
  <c r="AA10" i="24"/>
  <c r="AC9" i="24"/>
  <c r="AB9" i="24"/>
  <c r="O9" i="24" s="1"/>
  <c r="AA9" i="24"/>
  <c r="D14" i="24"/>
  <c r="AC8" i="24"/>
  <c r="AB8" i="24"/>
  <c r="O8" i="24" s="1"/>
  <c r="AA8" i="24"/>
  <c r="D7" i="24"/>
  <c r="AC7" i="24"/>
  <c r="AB7" i="24"/>
  <c r="O7" i="24" s="1"/>
  <c r="AA7" i="24"/>
  <c r="D10" i="24"/>
  <c r="D2" i="24"/>
  <c r="AC31" i="23"/>
  <c r="AB31" i="23"/>
  <c r="AA31" i="23"/>
  <c r="H31" i="23"/>
  <c r="D31" i="23"/>
  <c r="AC30" i="23"/>
  <c r="AB30" i="23"/>
  <c r="AA30" i="23"/>
  <c r="D30" i="23"/>
  <c r="AC29" i="23"/>
  <c r="AB29" i="23"/>
  <c r="AA29" i="23"/>
  <c r="D29" i="23"/>
  <c r="AC28" i="23"/>
  <c r="AB28" i="23"/>
  <c r="AA28" i="23"/>
  <c r="AC27" i="23"/>
  <c r="AB27" i="23"/>
  <c r="AA27" i="23"/>
  <c r="D27" i="23"/>
  <c r="AC26" i="23"/>
  <c r="AB26" i="23"/>
  <c r="AA26" i="23"/>
  <c r="AC25" i="23"/>
  <c r="AB25" i="23"/>
  <c r="AA25" i="23"/>
  <c r="AC24" i="23"/>
  <c r="AB24" i="23"/>
  <c r="AA24" i="23"/>
  <c r="AC23" i="23"/>
  <c r="AB23" i="23"/>
  <c r="AA23" i="23"/>
  <c r="AC22" i="23"/>
  <c r="AB22" i="23"/>
  <c r="AA22" i="23"/>
  <c r="O22" i="23" s="1"/>
  <c r="AC21" i="23"/>
  <c r="AB21" i="23"/>
  <c r="AA21" i="23"/>
  <c r="AC20" i="23"/>
  <c r="AB20" i="23"/>
  <c r="AA20" i="23"/>
  <c r="AC19" i="23"/>
  <c r="AB19" i="23"/>
  <c r="AA19" i="23"/>
  <c r="AC18" i="23"/>
  <c r="AB18" i="23"/>
  <c r="AA18" i="23"/>
  <c r="AC17" i="23"/>
  <c r="AB17" i="23"/>
  <c r="AA17" i="23"/>
  <c r="O17" i="23" s="1"/>
  <c r="AC16" i="23"/>
  <c r="AB16" i="23"/>
  <c r="AA16" i="23"/>
  <c r="H10" i="23"/>
  <c r="D10" i="23"/>
  <c r="AC15" i="23"/>
  <c r="AB15" i="23"/>
  <c r="AA15" i="23"/>
  <c r="D19" i="23"/>
  <c r="AC14" i="23"/>
  <c r="AB14" i="23"/>
  <c r="AA14" i="23"/>
  <c r="H16" i="23"/>
  <c r="D16" i="23"/>
  <c r="AC13" i="23"/>
  <c r="AB13" i="23"/>
  <c r="AA13" i="23"/>
  <c r="D21" i="23"/>
  <c r="AC12" i="23"/>
  <c r="AB12" i="23"/>
  <c r="AA12" i="23"/>
  <c r="H8" i="23"/>
  <c r="D8" i="23"/>
  <c r="AC11" i="23"/>
  <c r="AB11" i="23"/>
  <c r="AA11" i="23"/>
  <c r="AC10" i="23"/>
  <c r="AB10" i="23"/>
  <c r="AA10" i="23"/>
  <c r="H9" i="23"/>
  <c r="D9" i="23"/>
  <c r="AC9" i="23"/>
  <c r="AB9" i="23"/>
  <c r="AA9" i="23"/>
  <c r="D18" i="23"/>
  <c r="AC8" i="23"/>
  <c r="AB8" i="23"/>
  <c r="AA8" i="23"/>
  <c r="H17" i="23"/>
  <c r="D17" i="23"/>
  <c r="AC7" i="23"/>
  <c r="AB7" i="23"/>
  <c r="AA7" i="23"/>
  <c r="H14" i="23"/>
  <c r="N16" i="23" s="1"/>
  <c r="D14" i="23"/>
  <c r="D2" i="23"/>
  <c r="O6" i="13"/>
  <c r="N3" i="13"/>
  <c r="N10" i="13" s="1"/>
  <c r="AF37" i="19"/>
  <c r="AE37" i="19"/>
  <c r="AD37" i="19"/>
  <c r="AC37" i="19"/>
  <c r="AB37" i="19"/>
  <c r="U11" i="19"/>
  <c r="U15" i="19"/>
  <c r="U22" i="19"/>
  <c r="U25" i="19"/>
  <c r="U14" i="19"/>
  <c r="U18" i="19"/>
  <c r="U10" i="19"/>
  <c r="U13" i="19"/>
  <c r="U7" i="19"/>
  <c r="U12" i="19"/>
  <c r="U9" i="19"/>
  <c r="U21" i="19"/>
  <c r="U16" i="19"/>
  <c r="U28" i="19"/>
  <c r="U20" i="19"/>
  <c r="U29" i="19"/>
  <c r="U33" i="19"/>
  <c r="U17" i="19"/>
  <c r="U23" i="19"/>
  <c r="U26" i="19"/>
  <c r="U27" i="19"/>
  <c r="U32" i="19"/>
  <c r="U8" i="19"/>
  <c r="H31" i="13"/>
  <c r="H27" i="13"/>
  <c r="AJ10" i="2"/>
  <c r="P12" i="20" s="1"/>
  <c r="E37" i="19"/>
  <c r="AJ5" i="2"/>
  <c r="P7" i="20" s="1"/>
  <c r="AJ6" i="2"/>
  <c r="P8" i="20" s="1"/>
  <c r="AJ7" i="2"/>
  <c r="P9" i="20" s="1"/>
  <c r="AJ8" i="2"/>
  <c r="P10" i="20" s="1"/>
  <c r="AJ9" i="2"/>
  <c r="P11" i="20" s="1"/>
  <c r="AJ11" i="2"/>
  <c r="P13" i="20" s="1"/>
  <c r="AJ12" i="2"/>
  <c r="P14" i="20" s="1"/>
  <c r="AJ13" i="2"/>
  <c r="P15" i="20" s="1"/>
  <c r="AJ14" i="2"/>
  <c r="P16" i="20" s="1"/>
  <c r="AJ15" i="2"/>
  <c r="P17" i="20" s="1"/>
  <c r="AJ16" i="2"/>
  <c r="P18" i="20" s="1"/>
  <c r="AJ4" i="2"/>
  <c r="P6" i="20" s="1"/>
  <c r="AI5" i="2"/>
  <c r="D4" i="20" s="1"/>
  <c r="AI6" i="2"/>
  <c r="F4" i="20" s="1"/>
  <c r="AI7" i="2"/>
  <c r="H4" i="20" s="1"/>
  <c r="AI8" i="2"/>
  <c r="J4" i="20" s="1"/>
  <c r="AI9" i="2"/>
  <c r="L4" i="20" s="1"/>
  <c r="AI10" i="2"/>
  <c r="B19" i="20" s="1"/>
  <c r="AI11" i="2"/>
  <c r="D19" i="20" s="1"/>
  <c r="AI12" i="2"/>
  <c r="AI13" i="2"/>
  <c r="F19" i="20" s="1"/>
  <c r="AI14" i="2"/>
  <c r="H19" i="20" s="1"/>
  <c r="AI15" i="2"/>
  <c r="J19" i="20" s="1"/>
  <c r="AI16" i="2"/>
  <c r="L19" i="20" s="1"/>
  <c r="AI4" i="2"/>
  <c r="B4" i="20" s="1"/>
  <c r="G37" i="19"/>
  <c r="R40" i="19"/>
  <c r="R39" i="19"/>
  <c r="I37" i="19"/>
  <c r="L20" i="20"/>
  <c r="J20" i="20"/>
  <c r="H20" i="20"/>
  <c r="F20" i="20"/>
  <c r="D20" i="20"/>
  <c r="B20" i="20"/>
  <c r="J5" i="20"/>
  <c r="H5" i="20"/>
  <c r="F5" i="20"/>
  <c r="D5" i="20"/>
  <c r="D13" i="19"/>
  <c r="D25" i="19"/>
  <c r="D12" i="19"/>
  <c r="D32" i="19"/>
  <c r="D33" i="19"/>
  <c r="D17" i="19"/>
  <c r="D11" i="19"/>
  <c r="D16" i="19"/>
  <c r="D30" i="19"/>
  <c r="D22" i="19"/>
  <c r="D19" i="19"/>
  <c r="D8" i="19"/>
  <c r="D23" i="19"/>
  <c r="D7" i="19"/>
  <c r="D31" i="19"/>
  <c r="AB31" i="13"/>
  <c r="AA31" i="13"/>
  <c r="Z31" i="13"/>
  <c r="D31" i="13"/>
  <c r="AB30" i="13"/>
  <c r="AA30" i="13"/>
  <c r="Z30" i="13"/>
  <c r="D30" i="13"/>
  <c r="AB29" i="13"/>
  <c r="AA29" i="13"/>
  <c r="Z29" i="13"/>
  <c r="D29" i="13"/>
  <c r="AB28" i="13"/>
  <c r="AA28" i="13"/>
  <c r="Z28" i="13"/>
  <c r="D28" i="13"/>
  <c r="AB27" i="13"/>
  <c r="AA27" i="13"/>
  <c r="Z27" i="13"/>
  <c r="D27" i="13"/>
  <c r="AB26" i="13"/>
  <c r="AA26" i="13"/>
  <c r="Z26" i="13"/>
  <c r="H26" i="13"/>
  <c r="D26" i="13"/>
  <c r="AB25" i="13"/>
  <c r="AA25" i="13"/>
  <c r="Z25" i="13"/>
  <c r="D25" i="13"/>
  <c r="AB24" i="13"/>
  <c r="AA24" i="13"/>
  <c r="Z24" i="13"/>
  <c r="AB23" i="13"/>
  <c r="AA23" i="13"/>
  <c r="Z23" i="13"/>
  <c r="AB22" i="13"/>
  <c r="AA22" i="13"/>
  <c r="Z22" i="13"/>
  <c r="AB21" i="13"/>
  <c r="AA21" i="13"/>
  <c r="Z21" i="13"/>
  <c r="AB20" i="13"/>
  <c r="AA20" i="13"/>
  <c r="Z20" i="13"/>
  <c r="AB19" i="13"/>
  <c r="AA19" i="13"/>
  <c r="Z19" i="13"/>
  <c r="AB18" i="13"/>
  <c r="AA18" i="13"/>
  <c r="Z18" i="13"/>
  <c r="AB17" i="13"/>
  <c r="AA17" i="13"/>
  <c r="Z17" i="13"/>
  <c r="AB16" i="13"/>
  <c r="AA16" i="13"/>
  <c r="Z16" i="13"/>
  <c r="AB15" i="13"/>
  <c r="AA15" i="13"/>
  <c r="Z15" i="13"/>
  <c r="AB14" i="13"/>
  <c r="AA14" i="13"/>
  <c r="Z14" i="13"/>
  <c r="AB13" i="13"/>
  <c r="AA13" i="13"/>
  <c r="Z13" i="13"/>
  <c r="AB12" i="13"/>
  <c r="AA12" i="13"/>
  <c r="Z12" i="13"/>
  <c r="AB11" i="13"/>
  <c r="AA11" i="13"/>
  <c r="Z11" i="13"/>
  <c r="AB10" i="13"/>
  <c r="AA10" i="13"/>
  <c r="Z10" i="13"/>
  <c r="AB9" i="13"/>
  <c r="AA9" i="13"/>
  <c r="Z9" i="13"/>
  <c r="AB8" i="13"/>
  <c r="AA8" i="13"/>
  <c r="Z8" i="13"/>
  <c r="AB7" i="13"/>
  <c r="AA7" i="13"/>
  <c r="Z7" i="13"/>
  <c r="D2" i="13"/>
  <c r="K8" i="19"/>
  <c r="N26" i="24"/>
  <c r="N24" i="24"/>
  <c r="N23" i="25"/>
  <c r="N29" i="24"/>
  <c r="N16" i="24"/>
  <c r="E23" i="25" l="1"/>
  <c r="E16" i="25"/>
  <c r="E20" i="25"/>
  <c r="E8" i="25"/>
  <c r="E16" i="24"/>
  <c r="E18" i="25"/>
  <c r="E22" i="25"/>
  <c r="I19" i="25"/>
  <c r="K19" i="25" s="1"/>
  <c r="I23" i="25"/>
  <c r="K23" i="25" s="1"/>
  <c r="I31" i="25"/>
  <c r="K31" i="25" s="1"/>
  <c r="I16" i="24"/>
  <c r="K16" i="24" s="1"/>
  <c r="I26" i="24"/>
  <c r="K26" i="24" s="1"/>
  <c r="I18" i="25"/>
  <c r="K18" i="25" s="1"/>
  <c r="I22" i="25"/>
  <c r="K22" i="25" s="1"/>
  <c r="I26" i="25"/>
  <c r="K26" i="25" s="1"/>
  <c r="E16" i="26"/>
  <c r="E10" i="26"/>
  <c r="I11" i="26"/>
  <c r="I10" i="26"/>
  <c r="K10" i="26" s="1"/>
  <c r="E14" i="26"/>
  <c r="E13" i="26"/>
  <c r="I13" i="26"/>
  <c r="E11" i="26"/>
  <c r="E12" i="26"/>
  <c r="N12" i="25"/>
  <c r="E7" i="25"/>
  <c r="I7" i="25"/>
  <c r="K7" i="25" s="1"/>
  <c r="E21" i="25"/>
  <c r="E17" i="25"/>
  <c r="I17" i="25"/>
  <c r="N9" i="25"/>
  <c r="O31" i="27"/>
  <c r="I16" i="23"/>
  <c r="K16" i="23" s="1"/>
  <c r="E15" i="23"/>
  <c r="N18" i="24"/>
  <c r="O11" i="26"/>
  <c r="O12" i="26"/>
  <c r="I8" i="24"/>
  <c r="K8" i="24" s="1"/>
  <c r="I30" i="24"/>
  <c r="K30" i="24" s="1"/>
  <c r="E11" i="24"/>
  <c r="I11" i="24"/>
  <c r="K11" i="24" s="1"/>
  <c r="O31" i="23"/>
  <c r="I15" i="23"/>
  <c r="K15" i="23" s="1"/>
  <c r="O12" i="23"/>
  <c r="O10" i="23"/>
  <c r="O13" i="23"/>
  <c r="O18" i="23"/>
  <c r="O8" i="23"/>
  <c r="O9" i="23"/>
  <c r="O26" i="26"/>
  <c r="E16" i="27"/>
  <c r="O21" i="23"/>
  <c r="O15" i="23"/>
  <c r="O7" i="23"/>
  <c r="O16" i="23"/>
  <c r="O20" i="23"/>
  <c r="O14" i="23"/>
  <c r="O11" i="23"/>
  <c r="O19" i="23"/>
  <c r="N26" i="27"/>
  <c r="O14" i="26"/>
  <c r="O15" i="26"/>
  <c r="N14" i="27"/>
  <c r="N20" i="27"/>
  <c r="I31" i="27"/>
  <c r="K31" i="27" s="1"/>
  <c r="I31" i="23"/>
  <c r="K31" i="23" s="1"/>
  <c r="E21" i="23"/>
  <c r="O9" i="26"/>
  <c r="O10" i="26"/>
  <c r="O8" i="26"/>
  <c r="O13" i="26"/>
  <c r="N15" i="24"/>
  <c r="K11" i="13"/>
  <c r="E19" i="27"/>
  <c r="I21" i="27"/>
  <c r="I15" i="26"/>
  <c r="K15" i="26" s="1"/>
  <c r="E18" i="27"/>
  <c r="E11" i="27"/>
  <c r="E14" i="27"/>
  <c r="E22" i="27"/>
  <c r="K12" i="26"/>
  <c r="I9" i="27"/>
  <c r="K9" i="27" s="1"/>
  <c r="I17" i="27"/>
  <c r="K17" i="27" s="1"/>
  <c r="I18" i="27"/>
  <c r="K18" i="27" s="1"/>
  <c r="I10" i="27"/>
  <c r="K10" i="27" s="1"/>
  <c r="I22" i="27"/>
  <c r="N19" i="27"/>
  <c r="E9" i="27"/>
  <c r="E17" i="27"/>
  <c r="E20" i="27"/>
  <c r="E15" i="27"/>
  <c r="I16" i="27"/>
  <c r="K16" i="27" s="1"/>
  <c r="E12" i="27"/>
  <c r="E8" i="27"/>
  <c r="K21" i="26"/>
  <c r="K22" i="26"/>
  <c r="K27" i="23"/>
  <c r="I14" i="25"/>
  <c r="K14" i="25" s="1"/>
  <c r="E15" i="26"/>
  <c r="K14" i="26"/>
  <c r="K16" i="26"/>
  <c r="K8" i="26"/>
  <c r="K13" i="26"/>
  <c r="K11" i="26"/>
  <c r="K9" i="26"/>
  <c r="N27" i="27"/>
  <c r="N31" i="27"/>
  <c r="N16" i="27"/>
  <c r="N13" i="27"/>
  <c r="N7" i="27"/>
  <c r="N12" i="27"/>
  <c r="E17" i="13"/>
  <c r="E10" i="25"/>
  <c r="I11" i="25"/>
  <c r="K11" i="25" s="1"/>
  <c r="I15" i="25"/>
  <c r="K15" i="25" s="1"/>
  <c r="K27" i="27"/>
  <c r="N15" i="25"/>
  <c r="N10" i="27"/>
  <c r="E14" i="25"/>
  <c r="K27" i="25"/>
  <c r="N15" i="27"/>
  <c r="O9" i="13"/>
  <c r="N11" i="27"/>
  <c r="E13" i="25"/>
  <c r="I10" i="25"/>
  <c r="K10" i="25" s="1"/>
  <c r="E9" i="25"/>
  <c r="I13" i="25"/>
  <c r="K13" i="25" s="1"/>
  <c r="N13" i="25"/>
  <c r="N11" i="25"/>
  <c r="E11" i="25"/>
  <c r="E15" i="25"/>
  <c r="I12" i="25"/>
  <c r="K12" i="25" s="1"/>
  <c r="I9" i="25"/>
  <c r="K9" i="25" s="1"/>
  <c r="I25" i="24"/>
  <c r="K25" i="24" s="1"/>
  <c r="I29" i="24"/>
  <c r="K29" i="24" s="1"/>
  <c r="O14" i="13"/>
  <c r="E10" i="24"/>
  <c r="I24" i="24"/>
  <c r="K24" i="24" s="1"/>
  <c r="I28" i="24"/>
  <c r="K28" i="24" s="1"/>
  <c r="E9" i="23"/>
  <c r="E23" i="24"/>
  <c r="I9" i="24"/>
  <c r="K9" i="24" s="1"/>
  <c r="N10" i="24"/>
  <c r="N14" i="24"/>
  <c r="I18" i="24"/>
  <c r="K18" i="24" s="1"/>
  <c r="E19" i="24"/>
  <c r="I19" i="24"/>
  <c r="K19" i="24" s="1"/>
  <c r="E15" i="24"/>
  <c r="I31" i="24"/>
  <c r="K31" i="24" s="1"/>
  <c r="O7" i="13"/>
  <c r="O16" i="13"/>
  <c r="O20" i="13"/>
  <c r="K16" i="25"/>
  <c r="O31" i="13"/>
  <c r="O11" i="13"/>
  <c r="O15" i="13"/>
  <c r="O19" i="13"/>
  <c r="O10" i="13"/>
  <c r="N26" i="25"/>
  <c r="N12" i="24"/>
  <c r="N7" i="23"/>
  <c r="N8" i="23"/>
  <c r="K8" i="25"/>
  <c r="I10" i="13"/>
  <c r="K10" i="13" s="1"/>
  <c r="E17" i="23"/>
  <c r="I17" i="13"/>
  <c r="K17" i="13" s="1"/>
  <c r="K23" i="24"/>
  <c r="I8" i="27"/>
  <c r="K8" i="27" s="1"/>
  <c r="I20" i="13"/>
  <c r="K20" i="13" s="1"/>
  <c r="I12" i="13"/>
  <c r="K12" i="13" s="1"/>
  <c r="E9" i="13"/>
  <c r="E18" i="13"/>
  <c r="I21" i="13"/>
  <c r="K21" i="13" s="1"/>
  <c r="I13" i="13"/>
  <c r="K13" i="13" s="1"/>
  <c r="N8" i="27"/>
  <c r="I20" i="27"/>
  <c r="K20" i="27" s="1"/>
  <c r="I14" i="27"/>
  <c r="K14" i="27" s="1"/>
  <c r="E13" i="13"/>
  <c r="K8" i="13"/>
  <c r="N11" i="13"/>
  <c r="N17" i="13"/>
  <c r="E19" i="13"/>
  <c r="I15" i="13"/>
  <c r="K15" i="13" s="1"/>
  <c r="E20" i="13"/>
  <c r="K14" i="13"/>
  <c r="E16" i="13"/>
  <c r="E7" i="13"/>
  <c r="I9" i="13"/>
  <c r="K9" i="13" s="1"/>
  <c r="I18" i="13"/>
  <c r="K18" i="13" s="1"/>
  <c r="E21" i="13"/>
  <c r="E22" i="13"/>
  <c r="I7" i="13"/>
  <c r="K7" i="13" s="1"/>
  <c r="I16" i="13"/>
  <c r="K16" i="13" s="1"/>
  <c r="E15" i="13"/>
  <c r="I19" i="13"/>
  <c r="K19" i="13" s="1"/>
  <c r="I17" i="23"/>
  <c r="E7" i="27"/>
  <c r="I19" i="27"/>
  <c r="K19" i="27" s="1"/>
  <c r="I26" i="27"/>
  <c r="K26" i="27" s="1"/>
  <c r="N17" i="25"/>
  <c r="N31" i="23"/>
  <c r="N12" i="23"/>
  <c r="N18" i="27"/>
  <c r="N8" i="25"/>
  <c r="I14" i="24"/>
  <c r="K14" i="24" s="1"/>
  <c r="N8" i="13"/>
  <c r="N31" i="25"/>
  <c r="N27" i="13"/>
  <c r="K17" i="25"/>
  <c r="N16" i="25"/>
  <c r="N16" i="13"/>
  <c r="N18" i="13"/>
  <c r="E18" i="24"/>
  <c r="E21" i="27"/>
  <c r="I27" i="24"/>
  <c r="K27" i="24" s="1"/>
  <c r="I13" i="27"/>
  <c r="K13" i="27" s="1"/>
  <c r="O12" i="13"/>
  <c r="N7" i="13"/>
  <c r="K27" i="13"/>
  <c r="O21" i="13"/>
  <c r="K26" i="13"/>
  <c r="N12" i="13"/>
  <c r="N20" i="13"/>
  <c r="O8" i="13"/>
  <c r="O18" i="13"/>
  <c r="O13" i="13"/>
  <c r="O17" i="13"/>
  <c r="O26" i="13"/>
  <c r="N14" i="13"/>
  <c r="N9" i="13"/>
  <c r="N15" i="13"/>
  <c r="N19" i="13"/>
  <c r="N21" i="13"/>
  <c r="N26" i="13"/>
  <c r="N13" i="13"/>
  <c r="N9" i="27"/>
  <c r="I7" i="27"/>
  <c r="K7" i="27" s="1"/>
  <c r="I11" i="27"/>
  <c r="K11" i="27" s="1"/>
  <c r="E10" i="27"/>
  <c r="I12" i="27"/>
  <c r="K12" i="27" s="1"/>
  <c r="I15" i="27"/>
  <c r="K15" i="27" s="1"/>
  <c r="N17" i="27"/>
  <c r="N13" i="24"/>
  <c r="I17" i="24"/>
  <c r="K17" i="24" s="1"/>
  <c r="E17" i="24"/>
  <c r="I7" i="24"/>
  <c r="K7" i="24" s="1"/>
  <c r="L10" i="24" s="1"/>
  <c r="E14" i="24"/>
  <c r="E7" i="24"/>
  <c r="I13" i="24"/>
  <c r="K13" i="24" s="1"/>
  <c r="E12" i="24"/>
  <c r="N11" i="24"/>
  <c r="E8" i="24"/>
  <c r="E13" i="24"/>
  <c r="I15" i="24"/>
  <c r="K15" i="24" s="1"/>
  <c r="I12" i="24"/>
  <c r="K12" i="24" s="1"/>
  <c r="N10" i="25"/>
  <c r="K22" i="24"/>
  <c r="K31" i="13"/>
  <c r="N7" i="25"/>
  <c r="N31" i="13"/>
  <c r="K26" i="26"/>
  <c r="N7" i="24"/>
  <c r="N9" i="24"/>
  <c r="N31" i="24"/>
  <c r="I10" i="23"/>
  <c r="E10" i="23"/>
  <c r="N11" i="23"/>
  <c r="N15" i="23"/>
  <c r="I8" i="23"/>
  <c r="I9" i="23"/>
  <c r="I14" i="23"/>
  <c r="E13" i="23"/>
  <c r="E16" i="23"/>
  <c r="N17" i="23"/>
  <c r="N13" i="23"/>
  <c r="N14" i="23"/>
  <c r="I7" i="23"/>
  <c r="E14" i="23"/>
  <c r="N9" i="23"/>
  <c r="E18" i="23"/>
  <c r="E12" i="23"/>
  <c r="N10" i="23"/>
  <c r="I11" i="23"/>
  <c r="I12" i="23"/>
  <c r="E8" i="23"/>
  <c r="E11" i="23"/>
  <c r="E19" i="23"/>
  <c r="E20" i="23"/>
  <c r="I13" i="23"/>
  <c r="E7" i="23"/>
  <c r="M22" i="25" l="1"/>
  <c r="L16" i="26"/>
  <c r="M8" i="24"/>
  <c r="L8" i="24"/>
  <c r="L13" i="24"/>
  <c r="M14" i="24"/>
  <c r="L14" i="24"/>
  <c r="M13" i="24"/>
  <c r="L22" i="25"/>
  <c r="M11" i="26"/>
  <c r="M21" i="26"/>
  <c r="L9" i="26"/>
  <c r="M14" i="26"/>
  <c r="L13" i="26"/>
  <c r="L15" i="26"/>
  <c r="M9" i="26"/>
  <c r="M13" i="26"/>
  <c r="M15" i="26"/>
  <c r="L10" i="26"/>
  <c r="L14" i="26"/>
  <c r="L8" i="26"/>
  <c r="L12" i="26"/>
  <c r="M7" i="26"/>
  <c r="L21" i="26"/>
  <c r="M10" i="26"/>
  <c r="M16" i="26"/>
  <c r="M8" i="26"/>
  <c r="M12" i="26"/>
  <c r="L11" i="26"/>
  <c r="M19" i="25"/>
  <c r="M18" i="25"/>
  <c r="L19" i="25"/>
  <c r="L18" i="25"/>
  <c r="L10" i="13"/>
  <c r="M10" i="13"/>
  <c r="L19" i="13"/>
  <c r="L27" i="13"/>
  <c r="L7" i="13"/>
  <c r="M7" i="13"/>
  <c r="M26" i="13"/>
  <c r="L20" i="13"/>
  <c r="M27" i="13"/>
  <c r="M20" i="13"/>
  <c r="L13" i="13"/>
  <c r="M9" i="13"/>
  <c r="M21" i="13"/>
  <c r="M19" i="13"/>
  <c r="L9" i="13"/>
  <c r="L21" i="13"/>
  <c r="M13" i="13"/>
  <c r="M14" i="13"/>
  <c r="L14" i="13"/>
  <c r="M12" i="13"/>
  <c r="L12" i="13"/>
  <c r="L17" i="13"/>
  <c r="M17" i="13"/>
  <c r="M16" i="13"/>
  <c r="L16" i="13"/>
  <c r="L26" i="13"/>
  <c r="M19" i="27"/>
  <c r="M15" i="27"/>
  <c r="L15" i="27"/>
  <c r="L9" i="27"/>
  <c r="M9" i="27"/>
  <c r="L14" i="27"/>
  <c r="M14" i="27"/>
  <c r="M8" i="27"/>
  <c r="L8" i="27"/>
  <c r="M22" i="26"/>
  <c r="L22" i="26"/>
  <c r="M11" i="27"/>
  <c r="M18" i="27"/>
  <c r="M7" i="27"/>
  <c r="M10" i="27"/>
  <c r="L31" i="27"/>
  <c r="L27" i="27"/>
  <c r="L12" i="27"/>
  <c r="L18" i="27"/>
  <c r="M17" i="27"/>
  <c r="L10" i="27"/>
  <c r="M12" i="27"/>
  <c r="L7" i="27"/>
  <c r="M31" i="27"/>
  <c r="M16" i="27"/>
  <c r="L17" i="27"/>
  <c r="M27" i="27"/>
  <c r="L16" i="27"/>
  <c r="L11" i="27"/>
  <c r="L13" i="27"/>
  <c r="M13" i="27"/>
  <c r="L19" i="27"/>
  <c r="L26" i="27"/>
  <c r="M26" i="27"/>
  <c r="L20" i="27"/>
  <c r="M20" i="27"/>
  <c r="L23" i="24"/>
  <c r="M23" i="24"/>
  <c r="L9" i="24"/>
  <c r="M9" i="24"/>
  <c r="L18" i="13"/>
  <c r="M18" i="13"/>
  <c r="M27" i="24"/>
  <c r="L27" i="24"/>
  <c r="L8" i="13"/>
  <c r="M8" i="13"/>
  <c r="M15" i="24"/>
  <c r="L15" i="24"/>
  <c r="M31" i="13"/>
  <c r="L31" i="13"/>
  <c r="M10" i="24"/>
  <c r="M11" i="13"/>
  <c r="L11" i="13"/>
  <c r="L10" i="25"/>
  <c r="M10" i="25"/>
  <c r="M19" i="24"/>
  <c r="L19" i="24"/>
  <c r="M28" i="24"/>
  <c r="L28" i="24"/>
  <c r="M26" i="26"/>
  <c r="L26" i="26"/>
  <c r="M7" i="24"/>
  <c r="L7" i="24"/>
  <c r="M22" i="24"/>
  <c r="L22" i="24"/>
  <c r="L11" i="24"/>
  <c r="M11" i="24"/>
  <c r="L31" i="24"/>
  <c r="M31" i="24"/>
  <c r="L17" i="24"/>
  <c r="M17" i="24"/>
  <c r="M24" i="24"/>
  <c r="L24" i="24"/>
  <c r="L7" i="25"/>
  <c r="M14" i="25"/>
  <c r="M12" i="25"/>
  <c r="M15" i="25"/>
  <c r="M26" i="25"/>
  <c r="M16" i="25"/>
  <c r="L31" i="25"/>
  <c r="L27" i="25"/>
  <c r="L13" i="25"/>
  <c r="L15" i="25"/>
  <c r="L26" i="25"/>
  <c r="M8" i="25"/>
  <c r="M23" i="25"/>
  <c r="L17" i="25"/>
  <c r="M7" i="25"/>
  <c r="M17" i="25"/>
  <c r="L23" i="25"/>
  <c r="L9" i="25"/>
  <c r="L8" i="25"/>
  <c r="M31" i="25"/>
  <c r="M13" i="25"/>
  <c r="L11" i="25"/>
  <c r="L14" i="25"/>
  <c r="M11" i="25"/>
  <c r="L12" i="25"/>
  <c r="L16" i="25"/>
  <c r="M9" i="25"/>
  <c r="M27" i="25"/>
  <c r="L18" i="24"/>
  <c r="M18" i="24"/>
  <c r="M26" i="24"/>
  <c r="L26" i="24"/>
  <c r="L12" i="24"/>
  <c r="M12" i="24"/>
  <c r="L25" i="24"/>
  <c r="M25" i="24"/>
  <c r="M29" i="24"/>
  <c r="L29" i="24"/>
  <c r="M16" i="24"/>
  <c r="L16" i="24"/>
  <c r="M15" i="13"/>
  <c r="L15" i="13"/>
  <c r="L30" i="24"/>
  <c r="M30" i="24"/>
  <c r="K13" i="23"/>
  <c r="K9" i="23"/>
  <c r="K10" i="23"/>
  <c r="K17" i="23"/>
  <c r="K7" i="23"/>
  <c r="K11" i="23"/>
  <c r="K8" i="23"/>
  <c r="K14" i="23"/>
  <c r="K12" i="23"/>
  <c r="L19" i="23" l="1"/>
  <c r="M18" i="23"/>
  <c r="M21" i="23"/>
  <c r="M19" i="23"/>
  <c r="L22" i="23"/>
  <c r="L20" i="23"/>
  <c r="M22" i="23"/>
  <c r="M20" i="23"/>
  <c r="L18" i="23"/>
  <c r="L21" i="23"/>
  <c r="L16" i="23"/>
  <c r="L15" i="23"/>
  <c r="M14" i="23"/>
  <c r="M31" i="23"/>
  <c r="M8" i="23"/>
  <c r="M17" i="23"/>
  <c r="L14" i="23"/>
  <c r="L31" i="23"/>
  <c r="L11" i="23"/>
  <c r="M7" i="23"/>
  <c r="L8" i="23"/>
  <c r="L7" i="23"/>
  <c r="L27" i="23"/>
  <c r="M27" i="23"/>
  <c r="L17" i="23"/>
  <c r="M15" i="23"/>
  <c r="L10" i="23"/>
  <c r="M10" i="23"/>
  <c r="M9" i="23"/>
  <c r="M16" i="23"/>
  <c r="M11" i="23"/>
  <c r="L9" i="23"/>
  <c r="M12" i="23"/>
  <c r="L13" i="23"/>
  <c r="M13" i="23"/>
  <c r="L12" i="23"/>
</calcChain>
</file>

<file path=xl/sharedStrings.xml><?xml version="1.0" encoding="utf-8"?>
<sst xmlns="http://schemas.openxmlformats.org/spreadsheetml/2006/main" count="961" uniqueCount="405">
  <si>
    <t>参加数</t>
  </si>
  <si>
    <t xml:space="preserve"> 艇 </t>
  </si>
  <si>
    <t>ＴＡのリスト（参照用）</t>
    <rPh sb="7" eb="10">
      <t>サンショウヨウ</t>
    </rPh>
    <phoneticPr fontId="4"/>
  </si>
  <si>
    <t>順位</t>
  </si>
  <si>
    <t>SAIL</t>
  </si>
  <si>
    <t>艇　　名</t>
  </si>
  <si>
    <t>R</t>
  </si>
  <si>
    <t>着順</t>
  </si>
  <si>
    <t>着時間</t>
  </si>
  <si>
    <t>ET</t>
  </si>
  <si>
    <t>TA</t>
    <phoneticPr fontId="4"/>
  </si>
  <si>
    <t>PN</t>
  </si>
  <si>
    <t>ＣＴ</t>
  </si>
  <si>
    <t>得点</t>
  </si>
  <si>
    <t>NO.</t>
  </si>
  <si>
    <t xml:space="preserve">m </t>
  </si>
  <si>
    <t>H：M：S</t>
  </si>
  <si>
    <t xml:space="preserve">S </t>
  </si>
  <si>
    <t xml:space="preserve">% </t>
  </si>
  <si>
    <t xml:space="preserve">Kt </t>
  </si>
  <si>
    <t>Ⅰ</t>
    <phoneticPr fontId="4"/>
  </si>
  <si>
    <t>Ⅲ</t>
    <phoneticPr fontId="4"/>
  </si>
  <si>
    <t>Ⅱ</t>
    <phoneticPr fontId="4"/>
  </si>
  <si>
    <t>SAIL No.</t>
    <phoneticPr fontId="4"/>
  </si>
  <si>
    <t>ふるたか</t>
  </si>
  <si>
    <t>さがみ</t>
  </si>
  <si>
    <t>ノアノア</t>
  </si>
  <si>
    <t>サ－モン4</t>
  </si>
  <si>
    <t>はやとり</t>
  </si>
  <si>
    <t>かまくら</t>
  </si>
  <si>
    <t>飛車角</t>
  </si>
  <si>
    <t>八丈</t>
  </si>
  <si>
    <t>Ｋ７</t>
  </si>
  <si>
    <t>チルデ</t>
  </si>
  <si>
    <t>波勝</t>
  </si>
  <si>
    <t>衣笠</t>
  </si>
  <si>
    <t>アズサ</t>
  </si>
  <si>
    <t>くろしお</t>
  </si>
  <si>
    <t>イクソラⅢ</t>
  </si>
  <si>
    <t>飛天</t>
  </si>
  <si>
    <t>アイデアル</t>
  </si>
  <si>
    <t>未央</t>
  </si>
  <si>
    <t>雪風</t>
  </si>
  <si>
    <t>シンシア</t>
  </si>
  <si>
    <t>アルファ</t>
  </si>
  <si>
    <t>FUHTA</t>
  </si>
  <si>
    <t>S/NM</t>
    <phoneticPr fontId="3"/>
  </si>
  <si>
    <t>初島</t>
    <rPh sb="0" eb="2">
      <t>ハツシマ</t>
    </rPh>
    <phoneticPr fontId="4"/>
  </si>
  <si>
    <t>Ａ</t>
    <phoneticPr fontId="3"/>
  </si>
  <si>
    <t>Ｅ</t>
    <phoneticPr fontId="3"/>
  </si>
  <si>
    <t>Ｆ</t>
    <phoneticPr fontId="3"/>
  </si>
  <si>
    <t>Ｄ</t>
    <phoneticPr fontId="3"/>
  </si>
  <si>
    <t>コース</t>
    <phoneticPr fontId="3"/>
  </si>
  <si>
    <t>月</t>
    <rPh sb="0" eb="1">
      <t>ツキ</t>
    </rPh>
    <phoneticPr fontId="3"/>
  </si>
  <si>
    <t>スタート</t>
    <phoneticPr fontId="3"/>
  </si>
  <si>
    <t xml:space="preserve"> (暫定) </t>
  </si>
  <si>
    <t>レース番号</t>
    <rPh sb="3" eb="5">
      <t>バンゴウ</t>
    </rPh>
    <phoneticPr fontId="3"/>
  </si>
  <si>
    <t>暫定版</t>
    <rPh sb="0" eb="2">
      <t>ザンテイ</t>
    </rPh>
    <rPh sb="2" eb="3">
      <t>ハン</t>
    </rPh>
    <phoneticPr fontId="3"/>
  </si>
  <si>
    <t>開催年</t>
    <rPh sb="0" eb="2">
      <t>カイサイ</t>
    </rPh>
    <rPh sb="2" eb="3">
      <t>ネン</t>
    </rPh>
    <phoneticPr fontId="3"/>
  </si>
  <si>
    <t>年</t>
    <rPh sb="0" eb="1">
      <t>ネン</t>
    </rPh>
    <phoneticPr fontId="3"/>
  </si>
  <si>
    <t>開催月</t>
    <rPh sb="0" eb="2">
      <t>カイサイ</t>
    </rPh>
    <rPh sb="2" eb="3">
      <t>ツキ</t>
    </rPh>
    <phoneticPr fontId="3"/>
  </si>
  <si>
    <t>レース番号</t>
    <rPh sb="3" eb="5">
      <t>バンゴウ</t>
    </rPh>
    <phoneticPr fontId="3"/>
  </si>
  <si>
    <t>熱海</t>
    <rPh sb="0" eb="2">
      <t>アタミ</t>
    </rPh>
    <phoneticPr fontId="4"/>
  </si>
  <si>
    <t>レース名</t>
    <rPh sb="3" eb="4">
      <t>メイ</t>
    </rPh>
    <phoneticPr fontId="3"/>
  </si>
  <si>
    <t>小網代フリートレース</t>
    <rPh sb="0" eb="1">
      <t>コ</t>
    </rPh>
    <rPh sb="1" eb="3">
      <t>アジロ</t>
    </rPh>
    <phoneticPr fontId="3"/>
  </si>
  <si>
    <t>ＴＡ</t>
    <phoneticPr fontId="3"/>
  </si>
  <si>
    <t>ＴＡ</t>
    <phoneticPr fontId="3"/>
  </si>
  <si>
    <t>Ⅰ</t>
    <phoneticPr fontId="3"/>
  </si>
  <si>
    <t>Ⅱ</t>
    <phoneticPr fontId="3"/>
  </si>
  <si>
    <t>Ⅲ</t>
    <phoneticPr fontId="3"/>
  </si>
  <si>
    <t>記  事</t>
    <phoneticPr fontId="3"/>
  </si>
  <si>
    <t>艇速</t>
    <rPh sb="0" eb="1">
      <t>テイ</t>
    </rPh>
    <rPh sb="1" eb="2">
      <t>ソク</t>
    </rPh>
    <phoneticPr fontId="3"/>
  </si>
  <si>
    <t>時刻</t>
    <rPh sb="0" eb="2">
      <t>ジコク</t>
    </rPh>
    <phoneticPr fontId="3"/>
  </si>
  <si>
    <t>コース・距離</t>
    <rPh sb="4" eb="6">
      <t>キョリ</t>
    </rPh>
    <phoneticPr fontId="3"/>
  </si>
  <si>
    <t>Ｅ</t>
  </si>
  <si>
    <t>距離(NM)</t>
    <rPh sb="0" eb="2">
      <t>キョリ</t>
    </rPh>
    <phoneticPr fontId="3"/>
  </si>
  <si>
    <t>得点（参照用）</t>
    <rPh sb="0" eb="2">
      <t>トクテン</t>
    </rPh>
    <rPh sb="3" eb="6">
      <t>サンショウヨウ</t>
    </rPh>
    <phoneticPr fontId="3"/>
  </si>
  <si>
    <t>得点</t>
    <rPh sb="0" eb="2">
      <t>トクテン</t>
    </rPh>
    <phoneticPr fontId="3"/>
  </si>
  <si>
    <t>MAX=20</t>
    <phoneticPr fontId="3"/>
  </si>
  <si>
    <t>MAX=30</t>
    <phoneticPr fontId="3"/>
  </si>
  <si>
    <t>MAX=40</t>
    <phoneticPr fontId="3"/>
  </si>
  <si>
    <t>MAX=40</t>
    <phoneticPr fontId="3"/>
  </si>
  <si>
    <t>MAX=20</t>
    <phoneticPr fontId="3"/>
  </si>
  <si>
    <t>開催日</t>
    <rPh sb="0" eb="3">
      <t>カイサイビ</t>
    </rPh>
    <phoneticPr fontId="3"/>
  </si>
  <si>
    <t>距離</t>
    <rPh sb="0" eb="2">
      <t>キョリ</t>
    </rPh>
    <phoneticPr fontId="3"/>
  </si>
  <si>
    <t>Ｄ短縮</t>
    <rPh sb="1" eb="3">
      <t>タンシュク</t>
    </rPh>
    <phoneticPr fontId="3"/>
  </si>
  <si>
    <t xml:space="preserve"> (確定) </t>
    <rPh sb="2" eb="4">
      <t>カクテイ</t>
    </rPh>
    <phoneticPr fontId="3"/>
  </si>
  <si>
    <t>コース</t>
  </si>
  <si>
    <t/>
  </si>
  <si>
    <t>SAIL　No.</t>
  </si>
  <si>
    <t>艇　名</t>
  </si>
  <si>
    <t>得点計</t>
  </si>
  <si>
    <t>皆勤賞</t>
    <rPh sb="0" eb="3">
      <t>カイキンショウ</t>
    </rPh>
    <phoneticPr fontId="4"/>
  </si>
  <si>
    <t>参加賞</t>
    <rPh sb="0" eb="3">
      <t>サンカショウ</t>
    </rPh>
    <phoneticPr fontId="4"/>
  </si>
  <si>
    <t>1</t>
  </si>
  <si>
    <t>2</t>
  </si>
  <si>
    <t>3</t>
  </si>
  <si>
    <t>4</t>
  </si>
  <si>
    <t>5</t>
  </si>
  <si>
    <t>6</t>
  </si>
  <si>
    <t>7</t>
  </si>
  <si>
    <t>8</t>
  </si>
  <si>
    <t>9</t>
  </si>
  <si>
    <t>10</t>
  </si>
  <si>
    <t>11</t>
  </si>
  <si>
    <t>12</t>
  </si>
  <si>
    <t>13</t>
  </si>
  <si>
    <t>14</t>
  </si>
  <si>
    <t>15</t>
  </si>
  <si>
    <t>16</t>
  </si>
  <si>
    <t>17</t>
  </si>
  <si>
    <t>18</t>
  </si>
  <si>
    <t>19</t>
  </si>
  <si>
    <t>20</t>
  </si>
  <si>
    <t>21</t>
  </si>
  <si>
    <t>22</t>
  </si>
  <si>
    <t>23</t>
  </si>
  <si>
    <t>24</t>
  </si>
  <si>
    <t>25</t>
  </si>
  <si>
    <t>レース参加艇数</t>
    <rPh sb="3" eb="5">
      <t>サンカ</t>
    </rPh>
    <rPh sb="5" eb="6">
      <t>テイ</t>
    </rPh>
    <rPh sb="6" eb="7">
      <t>スウ</t>
    </rPh>
    <phoneticPr fontId="4"/>
  </si>
  <si>
    <t>レース委員会　野村政司</t>
    <rPh sb="3" eb="6">
      <t>イインカイ</t>
    </rPh>
    <rPh sb="7" eb="9">
      <t>ノムラ</t>
    </rPh>
    <rPh sb="9" eb="11">
      <t>セイジ</t>
    </rPh>
    <phoneticPr fontId="4"/>
  </si>
  <si>
    <t>　優 勝 盾　</t>
  </si>
  <si>
    <t>1</t>
    <phoneticPr fontId="4"/>
  </si>
  <si>
    <t>5</t>
    <phoneticPr fontId="4"/>
  </si>
  <si>
    <t>11</t>
    <phoneticPr fontId="4"/>
  </si>
  <si>
    <t>12</t>
    <phoneticPr fontId="4"/>
  </si>
  <si>
    <t>20</t>
    <phoneticPr fontId="4"/>
  </si>
  <si>
    <t>Cはコミッティ担当、Bはコミッティボート提供。</t>
    <phoneticPr fontId="4"/>
  </si>
  <si>
    <t xml:space="preserve">　皆 勤 賞    </t>
    <phoneticPr fontId="4"/>
  </si>
  <si>
    <t xml:space="preserve">　参 加 賞  </t>
    <phoneticPr fontId="4"/>
  </si>
  <si>
    <t>小網代フリートレース　コミッティポイント</t>
    <phoneticPr fontId="4"/>
  </si>
  <si>
    <t>担当者名</t>
    <rPh sb="0" eb="2">
      <t>タントウ</t>
    </rPh>
    <rPh sb="2" eb="3">
      <t>シャ</t>
    </rPh>
    <rPh sb="3" eb="4">
      <t>メイ</t>
    </rPh>
    <phoneticPr fontId="4"/>
  </si>
  <si>
    <t>敬称略</t>
    <rPh sb="0" eb="2">
      <t>ケイショウ</t>
    </rPh>
    <rPh sb="2" eb="3">
      <t>リャク</t>
    </rPh>
    <phoneticPr fontId="4"/>
  </si>
  <si>
    <t>本部艇</t>
    <rPh sb="0" eb="2">
      <t>ホンブ</t>
    </rPh>
    <rPh sb="2" eb="3">
      <t>テイ</t>
    </rPh>
    <phoneticPr fontId="4"/>
  </si>
  <si>
    <t>Kマーク担当</t>
    <rPh sb="4" eb="6">
      <t>タントウ</t>
    </rPh>
    <phoneticPr fontId="4"/>
  </si>
  <si>
    <t>26</t>
  </si>
  <si>
    <t>27</t>
  </si>
  <si>
    <t>28</t>
  </si>
  <si>
    <t>29</t>
  </si>
  <si>
    <t>30</t>
  </si>
  <si>
    <t>KFR開催</t>
    <rPh sb="3" eb="5">
      <t>カイサイ</t>
    </rPh>
    <phoneticPr fontId="4"/>
  </si>
  <si>
    <t>日程</t>
  </si>
  <si>
    <t>Aマーク担当</t>
  </si>
  <si>
    <t>スタート</t>
    <phoneticPr fontId="4"/>
  </si>
  <si>
    <t>ケロニア</t>
  </si>
  <si>
    <t>注２）</t>
  </si>
  <si>
    <t>熱海ランデブーレース　</t>
  </si>
  <si>
    <t>熱海Ｒ
順位</t>
    <rPh sb="0" eb="2">
      <t>アタミ</t>
    </rPh>
    <rPh sb="4" eb="6">
      <t>ジュンイ</t>
    </rPh>
    <phoneticPr fontId="3"/>
  </si>
  <si>
    <t>K</t>
    <phoneticPr fontId="3"/>
  </si>
  <si>
    <t>ナジャ</t>
  </si>
  <si>
    <t>テティス</t>
  </si>
  <si>
    <t>HAURAKI</t>
  </si>
  <si>
    <t>Bitter End</t>
  </si>
  <si>
    <t>BASIC</t>
  </si>
  <si>
    <t>SPIRIT OF TOKYO</t>
  </si>
  <si>
    <t>INDICUM</t>
  </si>
  <si>
    <t>トーネイド</t>
  </si>
  <si>
    <t>ABI</t>
  </si>
  <si>
    <t>ネオパトス</t>
  </si>
  <si>
    <t>ながつろ</t>
  </si>
  <si>
    <t>じゃがたら</t>
  </si>
  <si>
    <t>たかとり</t>
  </si>
  <si>
    <t>　</t>
    <phoneticPr fontId="3"/>
  </si>
  <si>
    <t>上期</t>
    <rPh sb="0" eb="2">
      <t>カミキ</t>
    </rPh>
    <phoneticPr fontId="3"/>
  </si>
  <si>
    <t>後期</t>
    <rPh sb="0" eb="2">
      <t>コウキ</t>
    </rPh>
    <phoneticPr fontId="3"/>
  </si>
  <si>
    <t>得点計</t>
    <phoneticPr fontId="3"/>
  </si>
  <si>
    <t>年間得点計</t>
    <rPh sb="0" eb="2">
      <t>ネンカン</t>
    </rPh>
    <phoneticPr fontId="3"/>
  </si>
  <si>
    <t>＃494</t>
  </si>
  <si>
    <t>小網代ヨットクラブ レース委員会</t>
    <rPh sb="0" eb="1">
      <t>コ</t>
    </rPh>
    <rPh sb="1" eb="3">
      <t>アジロ</t>
    </rPh>
    <rPh sb="13" eb="16">
      <t>イインカイ</t>
    </rPh>
    <phoneticPr fontId="3"/>
  </si>
  <si>
    <t>実施日</t>
    <rPh sb="0" eb="2">
      <t>ジッシ</t>
    </rPh>
    <rPh sb="2" eb="3">
      <t>ビ</t>
    </rPh>
    <phoneticPr fontId="23"/>
  </si>
  <si>
    <t>本部艇</t>
    <rPh sb="0" eb="2">
      <t>ホンブ</t>
    </rPh>
    <rPh sb="2" eb="3">
      <t>テイ</t>
    </rPh>
    <phoneticPr fontId="3"/>
  </si>
  <si>
    <t>マーク担当</t>
    <rPh sb="3" eb="5">
      <t>タントウ</t>
    </rPh>
    <phoneticPr fontId="3"/>
  </si>
  <si>
    <t>1月</t>
    <rPh sb="1" eb="2">
      <t>ガツ</t>
    </rPh>
    <phoneticPr fontId="3"/>
  </si>
  <si>
    <t>2月</t>
    <rPh sb="1" eb="2">
      <t>ガツ</t>
    </rPh>
    <phoneticPr fontId="3"/>
  </si>
  <si>
    <t>3月</t>
    <rPh sb="1" eb="2">
      <t>ガツ</t>
    </rPh>
    <phoneticPr fontId="3"/>
  </si>
  <si>
    <t>4月</t>
    <rPh sb="1" eb="2">
      <t>ガツ</t>
    </rPh>
    <phoneticPr fontId="3"/>
  </si>
  <si>
    <t>5月</t>
    <rPh sb="1" eb="2">
      <t>ガツ</t>
    </rPh>
    <phoneticPr fontId="3"/>
  </si>
  <si>
    <t>6月</t>
    <rPh sb="1" eb="2">
      <t>ガツ</t>
    </rPh>
    <phoneticPr fontId="3"/>
  </si>
  <si>
    <t>7月</t>
    <rPh sb="1" eb="2">
      <t>ガツ</t>
    </rPh>
    <phoneticPr fontId="3"/>
  </si>
  <si>
    <t>8月</t>
    <rPh sb="1" eb="2">
      <t>ガツ</t>
    </rPh>
    <phoneticPr fontId="3"/>
  </si>
  <si>
    <t>9月</t>
    <rPh sb="1" eb="2">
      <t>ガツ</t>
    </rPh>
    <phoneticPr fontId="3"/>
  </si>
  <si>
    <t>10月</t>
    <rPh sb="2" eb="3">
      <t>ガツ</t>
    </rPh>
    <phoneticPr fontId="3"/>
  </si>
  <si>
    <t>11月</t>
    <rPh sb="2" eb="3">
      <t>ガツ</t>
    </rPh>
    <phoneticPr fontId="3"/>
  </si>
  <si>
    <t>12月</t>
    <rPh sb="2" eb="3">
      <t>ガツ</t>
    </rPh>
    <phoneticPr fontId="3"/>
  </si>
  <si>
    <t>風速：xxxノット
風向：　
天気：
◇ｺﾐｯﾃｨ：</t>
    <phoneticPr fontId="3"/>
  </si>
  <si>
    <t>風向：　</t>
    <phoneticPr fontId="3"/>
  </si>
  <si>
    <t>天気：</t>
    <phoneticPr fontId="3"/>
  </si>
  <si>
    <t>次回
2015年８月16日 
◇ｺﾐｯﾃｨ：くろしお</t>
    <phoneticPr fontId="3"/>
  </si>
  <si>
    <t>ｺﾐｯﾃｨ：</t>
    <phoneticPr fontId="3"/>
  </si>
  <si>
    <t>ｺﾐｯﾃｨ：</t>
    <phoneticPr fontId="3"/>
  </si>
  <si>
    <t>2月</t>
  </si>
  <si>
    <t>3月</t>
  </si>
  <si>
    <t>4月</t>
  </si>
  <si>
    <t>5月</t>
  </si>
  <si>
    <t>6月</t>
  </si>
  <si>
    <t>7月</t>
  </si>
  <si>
    <t>8月</t>
  </si>
  <si>
    <t>9月</t>
  </si>
  <si>
    <t>10月</t>
  </si>
  <si>
    <t>11月</t>
  </si>
  <si>
    <t>12月</t>
  </si>
  <si>
    <t>ｺｰｽ：</t>
    <phoneticPr fontId="3"/>
  </si>
  <si>
    <t>E</t>
    <phoneticPr fontId="3"/>
  </si>
  <si>
    <t>　ステンドグラス楯</t>
    <phoneticPr fontId="3"/>
  </si>
  <si>
    <t xml:space="preserve">　各月トップ賞  </t>
    <rPh sb="1" eb="2">
      <t>カク</t>
    </rPh>
    <rPh sb="2" eb="3">
      <t>ツキ</t>
    </rPh>
    <phoneticPr fontId="4"/>
  </si>
  <si>
    <t>（半期全回出場した艇）</t>
    <phoneticPr fontId="3"/>
  </si>
  <si>
    <t>（半期2回以上出場した艇）</t>
    <phoneticPr fontId="3"/>
  </si>
  <si>
    <t>小網代フリートレース成績（確定）</t>
    <rPh sb="10" eb="12">
      <t>セイセキ</t>
    </rPh>
    <rPh sb="13" eb="15">
      <t>カクテイ</t>
    </rPh>
    <phoneticPr fontId="4"/>
  </si>
  <si>
    <t>Ｅ</t>
    <phoneticPr fontId="3"/>
  </si>
  <si>
    <t>C短縮</t>
    <rPh sb="1" eb="3">
      <t>タンシュク</t>
    </rPh>
    <phoneticPr fontId="3"/>
  </si>
  <si>
    <t>HAYATE</t>
  </si>
  <si>
    <t>SHARK X</t>
  </si>
  <si>
    <t>桜工</t>
  </si>
  <si>
    <t>ランカ</t>
  </si>
  <si>
    <t xml:space="preserve"> </t>
    <phoneticPr fontId="3"/>
  </si>
  <si>
    <t>皆勤賞</t>
    <rPh sb="0" eb="3">
      <t>カイキンショウ</t>
    </rPh>
    <phoneticPr fontId="3"/>
  </si>
  <si>
    <t>参加賞</t>
    <rPh sb="0" eb="3">
      <t>サンカショウ</t>
    </rPh>
    <phoneticPr fontId="3"/>
  </si>
  <si>
    <t>レース参加艇数</t>
    <rPh sb="3" eb="5">
      <t>サンカ</t>
    </rPh>
    <rPh sb="5" eb="6">
      <t>テイ</t>
    </rPh>
    <rPh sb="6" eb="7">
      <t>スウ</t>
    </rPh>
    <phoneticPr fontId="3"/>
  </si>
  <si>
    <t>Ｋ</t>
  </si>
  <si>
    <t>K</t>
    <phoneticPr fontId="3"/>
  </si>
  <si>
    <t>E(500記念)</t>
    <rPh sb="5" eb="7">
      <t>キネン</t>
    </rPh>
    <phoneticPr fontId="3"/>
  </si>
  <si>
    <t>艇　名</t>
    <rPh sb="0" eb="1">
      <t>テイ</t>
    </rPh>
    <rPh sb="2" eb="3">
      <t>ナ</t>
    </rPh>
    <phoneticPr fontId="3"/>
  </si>
  <si>
    <t>R（m）</t>
    <phoneticPr fontId="3"/>
  </si>
  <si>
    <t>TA Ⅰ</t>
    <phoneticPr fontId="3"/>
  </si>
  <si>
    <t>TA　Ⅱ</t>
    <phoneticPr fontId="3"/>
  </si>
  <si>
    <t>TA　Ⅲ</t>
    <phoneticPr fontId="3"/>
  </si>
  <si>
    <t>Miss Nippon Ⅷ</t>
  </si>
  <si>
    <t>EBB TIDE</t>
  </si>
  <si>
    <t>ｱﾚｷｻﾝﾄﾞﾗ</t>
  </si>
  <si>
    <t>ｲｴﾛｰﾏｼﾞｯｸ</t>
  </si>
  <si>
    <t>ﾌﾙｰﾄﾞﾘｽⅦ</t>
  </si>
  <si>
    <t>ﾌﾞﾙｰﾘﾎﾞﾝ</t>
  </si>
  <si>
    <t>ﾌｪﾆｯｸｽ</t>
  </si>
  <si>
    <t>ﾌﾟﾗｳﾄﾞﾒｱﾘｰ</t>
  </si>
  <si>
    <t>MAX=30</t>
    <phoneticPr fontId="3"/>
  </si>
  <si>
    <t>MAX=30</t>
    <phoneticPr fontId="42"/>
  </si>
  <si>
    <t>Ⅱ</t>
  </si>
  <si>
    <t xml:space="preserve"> 秒/ﾏｲﾙ</t>
  </si>
  <si>
    <t xml:space="preserve"> 秒/ﾏｲﾙ</t>
    <phoneticPr fontId="3"/>
  </si>
  <si>
    <t>RATING</t>
    <phoneticPr fontId="3"/>
  </si>
  <si>
    <t>H</t>
  </si>
  <si>
    <t>H</t>
    <phoneticPr fontId="3"/>
  </si>
  <si>
    <t>J</t>
    <phoneticPr fontId="3"/>
  </si>
  <si>
    <t>K</t>
  </si>
  <si>
    <t>K</t>
    <phoneticPr fontId="3"/>
  </si>
  <si>
    <t>＃525</t>
  </si>
  <si>
    <t>＃526</t>
  </si>
  <si>
    <t>＃527</t>
  </si>
  <si>
    <t>＃528</t>
  </si>
  <si>
    <t>＃529</t>
  </si>
  <si>
    <t>＃530</t>
  </si>
  <si>
    <t>＃531</t>
  </si>
  <si>
    <t>＃532</t>
  </si>
  <si>
    <t>＃533</t>
  </si>
  <si>
    <t>＃534</t>
  </si>
  <si>
    <t>＃535</t>
  </si>
  <si>
    <t>＃536</t>
  </si>
  <si>
    <t>E</t>
    <phoneticPr fontId="3"/>
  </si>
  <si>
    <t>H</t>
    <phoneticPr fontId="3"/>
  </si>
  <si>
    <t>初島</t>
    <rPh sb="0" eb="2">
      <t>ハツシマ</t>
    </rPh>
    <phoneticPr fontId="3"/>
  </si>
  <si>
    <t>FまたはA</t>
    <phoneticPr fontId="3"/>
  </si>
  <si>
    <t>E</t>
    <phoneticPr fontId="3"/>
  </si>
  <si>
    <t>H</t>
    <phoneticPr fontId="3"/>
  </si>
  <si>
    <t>アルファ</t>
    <phoneticPr fontId="42"/>
  </si>
  <si>
    <t>リミット</t>
    <phoneticPr fontId="3"/>
  </si>
  <si>
    <t>得点</t>
    <rPh sb="0" eb="2">
      <t>トクテン</t>
    </rPh>
    <phoneticPr fontId="3"/>
  </si>
  <si>
    <t>MAX=20</t>
    <phoneticPr fontId="3"/>
  </si>
  <si>
    <t>VEGA</t>
  </si>
  <si>
    <t>ﾈﾌﾟﾁｭｰﾝXⅡ</t>
  </si>
  <si>
    <r>
      <rPr>
        <b/>
        <sz val="11"/>
        <rFont val="HGSｺﾞｼｯｸM"/>
        <family val="3"/>
        <charset val="128"/>
      </rPr>
      <t>ﾄｯﾌ</t>
    </r>
    <r>
      <rPr>
        <b/>
        <sz val="10"/>
        <rFont val="HGSｺﾞｼｯｸM"/>
        <family val="3"/>
        <charset val="128"/>
      </rPr>
      <t>ﾟ</t>
    </r>
    <r>
      <rPr>
        <b/>
        <sz val="8"/>
        <rFont val="HGSｺﾞｼｯｸM"/>
        <family val="3"/>
        <charset val="128"/>
      </rPr>
      <t>との</t>
    </r>
    <r>
      <rPr>
        <b/>
        <sz val="11"/>
        <rFont val="HGSｺﾞｼｯｸM"/>
        <family val="3"/>
        <charset val="128"/>
      </rPr>
      <t>差</t>
    </r>
    <phoneticPr fontId="4"/>
  </si>
  <si>
    <r>
      <rPr>
        <sz val="12"/>
        <rFont val="HGSｺﾞｼｯｸM"/>
        <family val="3"/>
        <charset val="128"/>
      </rPr>
      <t xml:space="preserve"> CT=ET-TA×D</t>
    </r>
    <r>
      <rPr>
        <sz val="11"/>
        <rFont val="HGSｺﾞｼｯｸM"/>
        <family val="3"/>
        <charset val="128"/>
      </rPr>
      <t xml:space="preserve">
 </t>
    </r>
    <r>
      <rPr>
        <sz val="10"/>
        <rFont val="HGSｺﾞｼｯｸM"/>
        <family val="3"/>
        <charset val="128"/>
      </rPr>
      <t>CT:修正時間(S)   ET:所要時間(S)
 TA:ｱﾛｰﾜﾝｽ(S/NM)</t>
    </r>
    <r>
      <rPr>
        <sz val="10"/>
        <color indexed="10"/>
        <rFont val="HGSｺﾞｼｯｸM"/>
        <family val="3"/>
        <charset val="128"/>
      </rPr>
      <t xml:space="preserve">  </t>
    </r>
    <r>
      <rPr>
        <sz val="10"/>
        <rFont val="HGSｺﾞｼｯｸM"/>
        <family val="3"/>
        <charset val="128"/>
      </rPr>
      <t>D :ﾚｰｽ距離(NM)</t>
    </r>
    <phoneticPr fontId="4"/>
  </si>
  <si>
    <r>
      <rPr>
        <sz val="12"/>
        <rFont val="HGSｺﾞｼｯｸM"/>
        <family val="3"/>
        <charset val="128"/>
      </rPr>
      <t xml:space="preserve"> 得点=20(N＋1‐J)/N</t>
    </r>
    <r>
      <rPr>
        <sz val="11"/>
        <rFont val="HGSｺﾞｼｯｸM"/>
        <family val="3"/>
        <charset val="128"/>
      </rPr>
      <t xml:space="preserve">
</t>
    </r>
    <r>
      <rPr>
        <sz val="10"/>
        <rFont val="HGSｺﾞｼｯｸM"/>
        <family val="3"/>
        <charset val="128"/>
      </rPr>
      <t xml:space="preserve"> N:参加艇数　 J:順位　
 DコースおよびＦコースは上記の1.5倍,DNS,DNF等は1点,DSQは0点</t>
    </r>
    <r>
      <rPr>
        <sz val="11"/>
        <rFont val="HGSｺﾞｼｯｸM"/>
        <family val="3"/>
        <charset val="128"/>
      </rPr>
      <t xml:space="preserve">
 </t>
    </r>
    <r>
      <rPr>
        <sz val="12"/>
        <rFont val="HGSｺﾞｼｯｸM"/>
        <family val="3"/>
        <charset val="128"/>
      </rPr>
      <t xml:space="preserve">初島レースの得点
      =30(N-J)/(N-1)+10
 </t>
    </r>
    <r>
      <rPr>
        <sz val="10"/>
        <rFont val="HGSｺﾞｼｯｸM"/>
        <family val="3"/>
        <charset val="128"/>
      </rPr>
      <t>月例の2倍,最下位艇10点,DNF5点</t>
    </r>
    <rPh sb="78" eb="80">
      <t>トクテン</t>
    </rPh>
    <phoneticPr fontId="4"/>
  </si>
  <si>
    <r>
      <rPr>
        <b/>
        <sz val="11"/>
        <rFont val="HGSｺﾞｼｯｸM"/>
        <family val="3"/>
        <charset val="128"/>
      </rPr>
      <t>ﾄｯﾌﾟ</t>
    </r>
    <r>
      <rPr>
        <b/>
        <sz val="8"/>
        <rFont val="HGSｺﾞｼｯｸM"/>
        <family val="3"/>
        <charset val="128"/>
      </rPr>
      <t>との</t>
    </r>
    <r>
      <rPr>
        <b/>
        <sz val="11"/>
        <rFont val="HGSｺﾞｼｯｸM"/>
        <family val="3"/>
        <charset val="128"/>
      </rPr>
      <t>差</t>
    </r>
    <phoneticPr fontId="4"/>
  </si>
  <si>
    <r>
      <rPr>
        <b/>
        <sz val="11"/>
        <rFont val="HGSｺﾞｼｯｸM"/>
        <family val="3"/>
        <charset val="128"/>
      </rPr>
      <t>ﾄｯﾌﾟ</t>
    </r>
    <r>
      <rPr>
        <b/>
        <sz val="8"/>
        <rFont val="HGSｺﾞｼｯｸM"/>
        <family val="3"/>
        <charset val="128"/>
      </rPr>
      <t>との</t>
    </r>
    <r>
      <rPr>
        <b/>
        <sz val="11"/>
        <rFont val="HGSｺﾞｼｯｸM"/>
        <family val="3"/>
        <charset val="128"/>
      </rPr>
      <t>差</t>
    </r>
    <phoneticPr fontId="4"/>
  </si>
  <si>
    <r>
      <rPr>
        <b/>
        <sz val="11"/>
        <rFont val="HGSｺﾞｼｯｸM"/>
        <family val="3"/>
        <charset val="128"/>
      </rPr>
      <t>ﾄｯﾌ</t>
    </r>
    <r>
      <rPr>
        <b/>
        <sz val="10"/>
        <rFont val="HGSｺﾞｼｯｸM"/>
        <family val="3"/>
        <charset val="128"/>
      </rPr>
      <t>ﾟ</t>
    </r>
    <r>
      <rPr>
        <b/>
        <sz val="8"/>
        <rFont val="HGSｺﾞｼｯｸM"/>
        <family val="3"/>
        <charset val="128"/>
      </rPr>
      <t>との</t>
    </r>
    <r>
      <rPr>
        <b/>
        <sz val="11"/>
        <rFont val="HGSｺﾞｼｯｸM"/>
        <family val="3"/>
        <charset val="128"/>
      </rPr>
      <t>差</t>
    </r>
    <phoneticPr fontId="4"/>
  </si>
  <si>
    <r>
      <rPr>
        <sz val="12"/>
        <rFont val="HGSｺﾞｼｯｸM"/>
        <family val="3"/>
        <charset val="128"/>
      </rPr>
      <t xml:space="preserve"> CT=ET-TA×D</t>
    </r>
    <r>
      <rPr>
        <sz val="11"/>
        <rFont val="HGSｺﾞｼｯｸM"/>
        <family val="3"/>
        <charset val="128"/>
      </rPr>
      <t xml:space="preserve">
 </t>
    </r>
    <r>
      <rPr>
        <sz val="10"/>
        <rFont val="HGSｺﾞｼｯｸM"/>
        <family val="3"/>
        <charset val="128"/>
      </rPr>
      <t>CT:修正時間(S)   ET:所要時間(S)
 TA:ｱﾛｰﾜﾝｽ(S/NM)</t>
    </r>
    <r>
      <rPr>
        <sz val="10"/>
        <color indexed="10"/>
        <rFont val="HGSｺﾞｼｯｸM"/>
        <family val="3"/>
        <charset val="128"/>
      </rPr>
      <t xml:space="preserve">  </t>
    </r>
    <r>
      <rPr>
        <sz val="10"/>
        <rFont val="HGSｺﾞｼｯｸM"/>
        <family val="3"/>
        <charset val="128"/>
      </rPr>
      <t>D :ﾚｰｽ距離(NM)</t>
    </r>
    <phoneticPr fontId="4"/>
  </si>
  <si>
    <r>
      <rPr>
        <b/>
        <sz val="11"/>
        <rFont val="HGSｺﾞｼｯｸM"/>
        <family val="3"/>
        <charset val="128"/>
      </rPr>
      <t>ﾄｯﾌﾟ</t>
    </r>
    <r>
      <rPr>
        <b/>
        <sz val="8"/>
        <rFont val="HGSｺﾞｼｯｸM"/>
        <family val="3"/>
        <charset val="128"/>
      </rPr>
      <t>との</t>
    </r>
    <r>
      <rPr>
        <b/>
        <sz val="11"/>
        <rFont val="HGSｺﾞｼｯｸM"/>
        <family val="3"/>
        <charset val="128"/>
      </rPr>
      <t>差</t>
    </r>
    <phoneticPr fontId="4"/>
  </si>
  <si>
    <r>
      <rPr>
        <b/>
        <sz val="11"/>
        <rFont val="HGSｺﾞｼｯｸM"/>
        <family val="3"/>
        <charset val="128"/>
      </rPr>
      <t>ﾄｯﾌ</t>
    </r>
    <r>
      <rPr>
        <b/>
        <sz val="10"/>
        <rFont val="HGSｺﾞｼｯｸM"/>
        <family val="3"/>
        <charset val="128"/>
      </rPr>
      <t>ﾟ</t>
    </r>
    <r>
      <rPr>
        <b/>
        <sz val="8"/>
        <rFont val="HGSｺﾞｼｯｸM"/>
        <family val="3"/>
        <charset val="128"/>
      </rPr>
      <t>との</t>
    </r>
    <r>
      <rPr>
        <b/>
        <sz val="11"/>
        <rFont val="HGSｺﾞｼｯｸM"/>
        <family val="3"/>
        <charset val="128"/>
      </rPr>
      <t>差</t>
    </r>
    <phoneticPr fontId="4"/>
  </si>
  <si>
    <r>
      <rPr>
        <sz val="12"/>
        <rFont val="HGSｺﾞｼｯｸM"/>
        <family val="3"/>
        <charset val="128"/>
      </rPr>
      <t xml:space="preserve"> CT=ET-TA×D</t>
    </r>
    <r>
      <rPr>
        <sz val="11"/>
        <rFont val="HGSｺﾞｼｯｸM"/>
        <family val="3"/>
        <charset val="128"/>
      </rPr>
      <t xml:space="preserve">
 </t>
    </r>
    <r>
      <rPr>
        <sz val="10"/>
        <rFont val="HGSｺﾞｼｯｸM"/>
        <family val="3"/>
        <charset val="128"/>
      </rPr>
      <t>CT:修正時間(S)   ET:所要時間(S)
 TA:ｱﾛｰﾜﾝｽ(S/NM)</t>
    </r>
    <r>
      <rPr>
        <sz val="10"/>
        <color indexed="10"/>
        <rFont val="HGSｺﾞｼｯｸM"/>
        <family val="3"/>
        <charset val="128"/>
      </rPr>
      <t xml:space="preserve">  </t>
    </r>
    <r>
      <rPr>
        <sz val="10"/>
        <rFont val="HGSｺﾞｼｯｸM"/>
        <family val="3"/>
        <charset val="128"/>
      </rPr>
      <t>D :ﾚｰｽ距離(NM)</t>
    </r>
    <phoneticPr fontId="4"/>
  </si>
  <si>
    <r>
      <rPr>
        <sz val="12"/>
        <rFont val="HGSｺﾞｼｯｸM"/>
        <family val="3"/>
        <charset val="128"/>
      </rPr>
      <t xml:space="preserve"> CT=ET-TA×D</t>
    </r>
    <r>
      <rPr>
        <sz val="11"/>
        <rFont val="HGSｺﾞｼｯｸM"/>
        <family val="3"/>
        <charset val="128"/>
      </rPr>
      <t xml:space="preserve">
 </t>
    </r>
    <r>
      <rPr>
        <sz val="10"/>
        <rFont val="HGSｺﾞｼｯｸM"/>
        <family val="3"/>
        <charset val="128"/>
      </rPr>
      <t>CT:修正時間(S)   ET:所要時間(S)
 TA:ｱﾛｰﾜﾝｽ(S/NM)</t>
    </r>
    <r>
      <rPr>
        <sz val="10"/>
        <color indexed="10"/>
        <rFont val="HGSｺﾞｼｯｸM"/>
        <family val="3"/>
        <charset val="128"/>
      </rPr>
      <t xml:space="preserve">  </t>
    </r>
    <r>
      <rPr>
        <sz val="10"/>
        <rFont val="HGSｺﾞｼｯｸM"/>
        <family val="3"/>
        <charset val="128"/>
      </rPr>
      <t>D :ﾚｰｽ距離(NM)</t>
    </r>
    <phoneticPr fontId="4"/>
  </si>
  <si>
    <r>
      <rPr>
        <b/>
        <sz val="11"/>
        <rFont val="HGSｺﾞｼｯｸM"/>
        <family val="3"/>
        <charset val="128"/>
      </rPr>
      <t>ﾄｯﾌﾟ</t>
    </r>
    <r>
      <rPr>
        <b/>
        <sz val="8"/>
        <rFont val="HGSｺﾞｼｯｸM"/>
        <family val="3"/>
        <charset val="128"/>
      </rPr>
      <t>との</t>
    </r>
    <r>
      <rPr>
        <b/>
        <sz val="11"/>
        <rFont val="HGSｺﾞｼｯｸM"/>
        <family val="3"/>
        <charset val="128"/>
      </rPr>
      <t>差</t>
    </r>
    <phoneticPr fontId="4"/>
  </si>
  <si>
    <r>
      <rPr>
        <b/>
        <sz val="11"/>
        <rFont val="HGSｺﾞｼｯｸM"/>
        <family val="3"/>
        <charset val="128"/>
      </rPr>
      <t>ﾄｯﾌ</t>
    </r>
    <r>
      <rPr>
        <b/>
        <sz val="10"/>
        <rFont val="HGSｺﾞｼｯｸM"/>
        <family val="3"/>
        <charset val="128"/>
      </rPr>
      <t>ﾟ</t>
    </r>
    <r>
      <rPr>
        <b/>
        <sz val="8"/>
        <rFont val="HGSｺﾞｼｯｸM"/>
        <family val="3"/>
        <charset val="128"/>
      </rPr>
      <t>との</t>
    </r>
    <r>
      <rPr>
        <b/>
        <sz val="11"/>
        <rFont val="HGSｺﾞｼｯｸM"/>
        <family val="3"/>
        <charset val="128"/>
      </rPr>
      <t>差</t>
    </r>
    <phoneticPr fontId="4"/>
  </si>
  <si>
    <r>
      <rPr>
        <sz val="12"/>
        <rFont val="HGSｺﾞｼｯｸM"/>
        <family val="3"/>
        <charset val="128"/>
      </rPr>
      <t xml:space="preserve"> CT=ET-TA×D</t>
    </r>
    <r>
      <rPr>
        <sz val="11"/>
        <rFont val="HGSｺﾞｼｯｸM"/>
        <family val="3"/>
        <charset val="128"/>
      </rPr>
      <t xml:space="preserve">
 </t>
    </r>
    <r>
      <rPr>
        <sz val="10"/>
        <rFont val="HGSｺﾞｼｯｸM"/>
        <family val="3"/>
        <charset val="128"/>
      </rPr>
      <t>CT:修正時間(S)   ET:所要時間(S)
 TA:ｱﾛｰﾜﾝｽ(S/NM)</t>
    </r>
    <r>
      <rPr>
        <sz val="10"/>
        <color indexed="10"/>
        <rFont val="HGSｺﾞｼｯｸM"/>
        <family val="3"/>
        <charset val="128"/>
      </rPr>
      <t xml:space="preserve">  </t>
    </r>
    <r>
      <rPr>
        <sz val="10"/>
        <rFont val="HGSｺﾞｼｯｸM"/>
        <family val="3"/>
        <charset val="128"/>
      </rPr>
      <t>D :ﾚｰｽ距離(NM)</t>
    </r>
    <phoneticPr fontId="4"/>
  </si>
  <si>
    <t>※2018.8.16レーティング反映</t>
    <rPh sb="16" eb="18">
      <t>ハンエイ</t>
    </rPh>
    <phoneticPr fontId="3"/>
  </si>
  <si>
    <t>風速：
風向：　
天気：
◇ｺﾐｯﾃｨ：</t>
    <phoneticPr fontId="3"/>
  </si>
  <si>
    <t>はやとり</t>
    <phoneticPr fontId="42"/>
  </si>
  <si>
    <t>小網代フリートレース年間成績（確定）</t>
    <rPh sb="10" eb="12">
      <t>ネンカン</t>
    </rPh>
    <rPh sb="12" eb="14">
      <t>セイセキ</t>
    </rPh>
    <rPh sb="15" eb="17">
      <t>カクテイ</t>
    </rPh>
    <phoneticPr fontId="4"/>
  </si>
  <si>
    <t>2019年</t>
    <rPh sb="4" eb="5">
      <t>ネン</t>
    </rPh>
    <phoneticPr fontId="3"/>
  </si>
  <si>
    <t>＃525</t>
    <phoneticPr fontId="3"/>
  </si>
  <si>
    <t>＃537</t>
  </si>
  <si>
    <t>＃538</t>
  </si>
  <si>
    <t>＃539</t>
  </si>
  <si>
    <t>＃540</t>
  </si>
  <si>
    <t>＃541</t>
  </si>
  <si>
    <t>＃542</t>
  </si>
  <si>
    <t>＃543</t>
  </si>
  <si>
    <t>＃544</t>
  </si>
  <si>
    <t>＃545</t>
  </si>
  <si>
    <t>＃546</t>
  </si>
  <si>
    <t>＃547</t>
  </si>
  <si>
    <t>＃548</t>
  </si>
  <si>
    <t>＃549</t>
  </si>
  <si>
    <t>KFRランデブーレース</t>
    <phoneticPr fontId="3"/>
  </si>
  <si>
    <t>Eまたは合同</t>
    <rPh sb="4" eb="6">
      <t>ゴウドウ</t>
    </rPh>
    <phoneticPr fontId="3"/>
  </si>
  <si>
    <t>DまたはE</t>
    <phoneticPr fontId="3"/>
  </si>
  <si>
    <t>KFRランデブー</t>
    <phoneticPr fontId="3"/>
  </si>
  <si>
    <t>JまたはH</t>
    <phoneticPr fontId="3"/>
  </si>
  <si>
    <t>2019公示 帆走指示書より</t>
    <rPh sb="4" eb="6">
      <t>コウジ</t>
    </rPh>
    <rPh sb="7" eb="9">
      <t>ハンソウ</t>
    </rPh>
    <rPh sb="9" eb="12">
      <t>シジショ</t>
    </rPh>
    <phoneticPr fontId="3"/>
  </si>
  <si>
    <t xml:space="preserve">  ～    kt</t>
    <phoneticPr fontId="3"/>
  </si>
  <si>
    <t>合同</t>
    <rPh sb="0" eb="2">
      <t>ゴウドウ</t>
    </rPh>
    <phoneticPr fontId="3"/>
  </si>
  <si>
    <t>Ｆ</t>
  </si>
  <si>
    <t>2019年度 前期</t>
    <rPh sb="7" eb="9">
      <t>ゼンキ</t>
    </rPh>
    <phoneticPr fontId="4"/>
  </si>
  <si>
    <t>2019年1月現在</t>
    <rPh sb="4" eb="5">
      <t>ネン</t>
    </rPh>
    <rPh sb="6" eb="7">
      <t>ガツ</t>
    </rPh>
    <rPh sb="7" eb="9">
      <t>ゲンザイ</t>
    </rPh>
    <phoneticPr fontId="4"/>
  </si>
  <si>
    <t>2019年間総合</t>
    <rPh sb="4" eb="6">
      <t>ネンカン</t>
    </rPh>
    <rPh sb="6" eb="8">
      <t>ソウゴウ</t>
    </rPh>
    <phoneticPr fontId="4"/>
  </si>
  <si>
    <t>各艇データ  小網代レーティング2019</t>
    <rPh sb="0" eb="1">
      <t>カク</t>
    </rPh>
    <rPh sb="1" eb="2">
      <t>テイ</t>
    </rPh>
    <rPh sb="7" eb="10">
      <t>コアジロ</t>
    </rPh>
    <phoneticPr fontId="4"/>
  </si>
  <si>
    <t>Ｄ</t>
  </si>
  <si>
    <t>J</t>
  </si>
  <si>
    <t>2019年KFRコミッティー担当一覧</t>
    <rPh sb="4" eb="5">
      <t>ネン</t>
    </rPh>
    <rPh sb="14" eb="16">
      <t>タントウ</t>
    </rPh>
    <rPh sb="16" eb="18">
      <t>イチラン</t>
    </rPh>
    <phoneticPr fontId="3"/>
  </si>
  <si>
    <t>リタイヤ</t>
    <phoneticPr fontId="3"/>
  </si>
  <si>
    <t>コミッティ</t>
    <phoneticPr fontId="3"/>
  </si>
  <si>
    <t>西</t>
    <rPh sb="0" eb="1">
      <t>ニシ</t>
    </rPh>
    <phoneticPr fontId="3"/>
  </si>
  <si>
    <t>曇り</t>
    <rPh sb="0" eb="1">
      <t>クモ</t>
    </rPh>
    <phoneticPr fontId="3"/>
  </si>
  <si>
    <t xml:space="preserve"> 3 ～ 15 kt</t>
    <phoneticPr fontId="3"/>
  </si>
  <si>
    <t>RET</t>
    <phoneticPr fontId="3"/>
  </si>
  <si>
    <t>フェニックス</t>
    <phoneticPr fontId="3"/>
  </si>
  <si>
    <t>かまくら</t>
    <phoneticPr fontId="3"/>
  </si>
  <si>
    <t>波勝</t>
    <rPh sb="0" eb="2">
      <t>ハガチ</t>
    </rPh>
    <phoneticPr fontId="3"/>
  </si>
  <si>
    <t>ケロニア</t>
    <phoneticPr fontId="3"/>
  </si>
  <si>
    <t>飛車角</t>
    <rPh sb="0" eb="3">
      <t>ヒシャカク</t>
    </rPh>
    <phoneticPr fontId="3"/>
  </si>
  <si>
    <t>ふるたか</t>
    <phoneticPr fontId="3"/>
  </si>
  <si>
    <t>衣笠</t>
    <rPh sb="0" eb="2">
      <t>キヌガサ</t>
    </rPh>
    <phoneticPr fontId="3"/>
  </si>
  <si>
    <t>ネプチューン</t>
    <phoneticPr fontId="3"/>
  </si>
  <si>
    <t>未央</t>
    <rPh sb="0" eb="2">
      <t>ミオ</t>
    </rPh>
    <phoneticPr fontId="3"/>
  </si>
  <si>
    <t>別途</t>
    <rPh sb="0" eb="2">
      <t>ベット</t>
    </rPh>
    <phoneticPr fontId="3"/>
  </si>
  <si>
    <t>はやとり</t>
    <phoneticPr fontId="3"/>
  </si>
  <si>
    <t>はやとり</t>
    <phoneticPr fontId="3"/>
  </si>
  <si>
    <t>遠藤</t>
    <rPh sb="0" eb="2">
      <t>エンドウ</t>
    </rPh>
    <phoneticPr fontId="3"/>
  </si>
  <si>
    <t>野村晋司</t>
    <rPh sb="0" eb="2">
      <t>ノムラ</t>
    </rPh>
    <rPh sb="2" eb="4">
      <t>シンジ</t>
    </rPh>
    <phoneticPr fontId="3"/>
  </si>
  <si>
    <t>平賀</t>
    <rPh sb="0" eb="2">
      <t>ヒラガ</t>
    </rPh>
    <phoneticPr fontId="3"/>
  </si>
  <si>
    <t>かまくら</t>
    <phoneticPr fontId="3"/>
  </si>
  <si>
    <t>くろしお</t>
    <phoneticPr fontId="3"/>
  </si>
  <si>
    <t>テティス</t>
    <phoneticPr fontId="3"/>
  </si>
  <si>
    <t>【レースコメント】  
１１時ころから大西になるとの予報の元、吹き始めた西ッけの風が激しくシフトする中
で、スタートは大変混乱した。
やがてやや一定した西となり、全艇ポートのクローズドリーチでマークへ向かい、
タックの後今度はスターボードのクローズドリーチでフィニッシュした。レース中は
ＭＡＸ２０Ｋｔ以下だったが、その後、本格的なシケになった。
ＨＡＵＲＡＫＩ，大多和正樹
【レース委員会より】
レース終了が早く終わったため、表彰式開始を13時開始と早くしました。なお、
2019年度各月KFRのコミッティが決定しました、ご担当艇の皆様ご協力をお願いいたします。</t>
    <rPh sb="193" eb="196">
      <t>イインカイ</t>
    </rPh>
    <rPh sb="203" eb="205">
      <t>シュウリョウ</t>
    </rPh>
    <rPh sb="206" eb="207">
      <t>ハヤ</t>
    </rPh>
    <rPh sb="208" eb="209">
      <t>オ</t>
    </rPh>
    <rPh sb="215" eb="218">
      <t>ヒョウショウシキ</t>
    </rPh>
    <rPh sb="218" eb="220">
      <t>カイシ</t>
    </rPh>
    <rPh sb="223" eb="224">
      <t>ジ</t>
    </rPh>
    <rPh sb="224" eb="226">
      <t>カイシ</t>
    </rPh>
    <rPh sb="227" eb="228">
      <t>ハヤ</t>
    </rPh>
    <rPh sb="242" eb="244">
      <t>ネンド</t>
    </rPh>
    <rPh sb="244" eb="245">
      <t>カク</t>
    </rPh>
    <rPh sb="245" eb="246">
      <t>ツキ</t>
    </rPh>
    <rPh sb="256" eb="258">
      <t>ケッテイ</t>
    </rPh>
    <rPh sb="264" eb="266">
      <t>タントウ</t>
    </rPh>
    <rPh sb="266" eb="267">
      <t>テイ</t>
    </rPh>
    <rPh sb="268" eb="270">
      <t>ミナサマ</t>
    </rPh>
    <rPh sb="271" eb="273">
      <t>キョウリョク</t>
    </rPh>
    <rPh sb="275" eb="276">
      <t>ネガ</t>
    </rPh>
    <phoneticPr fontId="3"/>
  </si>
  <si>
    <t>Ms.M</t>
  </si>
  <si>
    <t>仰秀</t>
  </si>
  <si>
    <t>北北東</t>
    <rPh sb="0" eb="3">
      <t>ホクホクトウ</t>
    </rPh>
    <phoneticPr fontId="42"/>
  </si>
  <si>
    <t>曇り</t>
    <rPh sb="0" eb="1">
      <t>クモ</t>
    </rPh>
    <phoneticPr fontId="42"/>
  </si>
  <si>
    <t>コミッティ</t>
    <phoneticPr fontId="42"/>
  </si>
  <si>
    <t>DNS</t>
    <phoneticPr fontId="42"/>
  </si>
  <si>
    <t>児玉</t>
    <rPh sb="0" eb="2">
      <t>コダマ</t>
    </rPh>
    <phoneticPr fontId="3"/>
  </si>
  <si>
    <t>テティス</t>
    <phoneticPr fontId="3"/>
  </si>
  <si>
    <t>里吉</t>
    <rPh sb="0" eb="2">
      <t>サトヨシ</t>
    </rPh>
    <phoneticPr fontId="3"/>
  </si>
  <si>
    <t>平賀</t>
    <rPh sb="0" eb="2">
      <t>ヒラガ</t>
    </rPh>
    <phoneticPr fontId="3"/>
  </si>
  <si>
    <t>かまくら</t>
    <phoneticPr fontId="3"/>
  </si>
  <si>
    <t>伊藤</t>
    <rPh sb="0" eb="2">
      <t>イトウ</t>
    </rPh>
    <phoneticPr fontId="3"/>
  </si>
  <si>
    <t>福島</t>
    <rPh sb="0" eb="2">
      <t>フクシマ</t>
    </rPh>
    <phoneticPr fontId="3"/>
  </si>
  <si>
    <t>くろしお</t>
    <phoneticPr fontId="3"/>
  </si>
  <si>
    <t>11～19kt</t>
    <phoneticPr fontId="3"/>
  </si>
  <si>
    <t xml:space="preserve">【レースコメント】 
外来艇に７艇も参加していただいて順風下爽快なレースが展開され、ＫＦＲが大いに盛り上がった。１４ｋｔ～１９ｋｔの北東風のなかスターボードのジェノアリーチングでスタート。ハウラキ、カマクラ、ケロニアが飛び出し、赤白ブイ回航後はスピンのランニングで７～８ｋｔの艇速で滑る。コース半ばでジャイブし、南西魚礁に近づいた頃には、風は１１ｋｔ～１５ｋｔ程度に落ちる。南西魚礁は、アルファ、ハウラキ、カマクラの順で、上りの競り合いが始まるが、風がシフティーで各艇の戦略によりフリートは左右に大きく広がった。トップのハウラキとアルファはポートで東海面に伸ばし、城ヶ島沖でタックして赤白に向かったが、その後に風はかなり東にシフトし、西海面に伸ばした艇に対してゲインした。アルファはやっとのことでファーストホームしたが、終始素晴らしい走りを見せたハウラキが優勝に輝き、最新鋭の新艇を乗りこなしたアイデアルが僅差で３位に滑り込んだ。ハウラキはボートスピード、クルーワーク、タクティクスのすべてのレベルが高く、走りにすきが無い。最近、多くの優れた外来艇に参加していただき、ＫＦＲが活性化してレースがより楽しくなっている。外来艇を手本に自分たちもレベルアップしてゆきたい。
アルファ　伊藤彰男
</t>
    <phoneticPr fontId="3"/>
  </si>
  <si>
    <t>RET</t>
    <phoneticPr fontId="42"/>
  </si>
  <si>
    <t>コミッティ</t>
    <phoneticPr fontId="42"/>
  </si>
  <si>
    <t>晴れ</t>
    <rPh sb="0" eb="1">
      <t>ハ</t>
    </rPh>
    <phoneticPr fontId="42"/>
  </si>
  <si>
    <t>北北西～南南西</t>
    <rPh sb="0" eb="3">
      <t>ホクホクセイ</t>
    </rPh>
    <rPh sb="4" eb="7">
      <t>ナンナンセイ</t>
    </rPh>
    <phoneticPr fontId="42"/>
  </si>
  <si>
    <t xml:space="preserve"> 3～14 kt</t>
    <phoneticPr fontId="3"/>
  </si>
  <si>
    <t>月居</t>
    <rPh sb="0" eb="1">
      <t>ツキ</t>
    </rPh>
    <rPh sb="1" eb="2">
      <t>イ</t>
    </rPh>
    <phoneticPr fontId="3"/>
  </si>
  <si>
    <t>フェニックス</t>
    <phoneticPr fontId="3"/>
  </si>
  <si>
    <t>タカカ</t>
    <phoneticPr fontId="3"/>
  </si>
  <si>
    <t>中谷</t>
    <rPh sb="0" eb="2">
      <t>ナカタニ</t>
    </rPh>
    <phoneticPr fontId="3"/>
  </si>
  <si>
    <t>岸田</t>
    <rPh sb="0" eb="2">
      <t>キシダ</t>
    </rPh>
    <phoneticPr fontId="3"/>
  </si>
  <si>
    <t>高橋</t>
    <rPh sb="0" eb="2">
      <t>タカハシ</t>
    </rPh>
    <phoneticPr fontId="3"/>
  </si>
  <si>
    <t>平賀</t>
    <rPh sb="0" eb="2">
      <t>ヒラガ</t>
    </rPh>
    <phoneticPr fontId="3"/>
  </si>
  <si>
    <t>かまくら</t>
    <phoneticPr fontId="3"/>
  </si>
  <si>
    <t>【レースコメント】  
スタートは微風で不利な展開でしたが、その後南にフレだしてすぐジェネカーアップし、浮き相模3号ブイまで順調に回航しました。その時点で6.7番手、ジブ帆走しながら悶々としてましたが、ギリギリジェネカーアップできそうだったので、一艇でも前に出ようとアップを実行した決断が結果に繋がりました。
昨年よりKFRに参加させていただいており、今回、初の修正１位になりましたこと大変嬉しく思っております。ありがとうございました。
VEGA8 宮澤英太郎</t>
    <rPh sb="52" eb="53">
      <t>ウ</t>
    </rPh>
    <phoneticPr fontId="3"/>
  </si>
  <si>
    <t>2019年4月20日</t>
    <phoneticPr fontId="3"/>
  </si>
  <si>
    <t>Ⅰ</t>
  </si>
  <si>
    <t>RET</t>
    <phoneticPr fontId="42"/>
  </si>
  <si>
    <t xml:space="preserve"> 艇 </t>
    <phoneticPr fontId="42"/>
  </si>
  <si>
    <t>南</t>
    <rPh sb="0" eb="1">
      <t>ミナミ</t>
    </rPh>
    <phoneticPr fontId="42"/>
  </si>
  <si>
    <t>晴れ</t>
    <rPh sb="0" eb="1">
      <t>ハ</t>
    </rPh>
    <phoneticPr fontId="42"/>
  </si>
  <si>
    <t>1～ 3 kt</t>
    <phoneticPr fontId="3"/>
  </si>
  <si>
    <t>かまくら</t>
    <phoneticPr fontId="3"/>
  </si>
  <si>
    <t>かまくら</t>
    <phoneticPr fontId="3"/>
  </si>
  <si>
    <t>高梨</t>
    <rPh sb="0" eb="2">
      <t>タカナシ</t>
    </rPh>
    <phoneticPr fontId="3"/>
  </si>
  <si>
    <t>菅沼</t>
    <rPh sb="0" eb="2">
      <t>スガヌマ</t>
    </rPh>
    <phoneticPr fontId="3"/>
  </si>
  <si>
    <r>
      <t xml:space="preserve">【レースコメント】
</t>
    </r>
    <r>
      <rPr>
        <sz val="11"/>
        <rFont val="HGSｺﾞｼｯｸM"/>
        <family val="3"/>
        <charset val="128"/>
      </rPr>
      <t xml:space="preserve">湘南レースとKFRの日程が重なる事になってしまった4月ですが、小網代ヨットクラブの皆様のご協力もあり、同じ三浦外洋セーリングクラブの仲間として合同レースが実現しました。平成最後のKFRは最初の合同レースとなりました。
　スタート海面は1～2ノットしか風がなく、25分遅れで微風のレースがスタートしました。西振れを予想して本部船寄りスタート、早めにポートに返してのですがこれは中途半端だったようで、スターボードで伸ばした艇に前を横切られてしまいました。1下へのスピンランで少し挽回、2度目の上りはうまくシフトをつかみ上位に食い込んではきましたが、アルファは前に回航しています。上マークを回航するころより更に風が落ち、時々スピンがだらんとする中なんとか風道を選択することができて、アルファさんの前でフィニッシュすることができました。にぎやかで楽しいレースをありがとうございました。SHARK X 関根
</t>
    </r>
    <r>
      <rPr>
        <sz val="12"/>
        <rFont val="HGSｺﾞｼｯｸM"/>
        <family val="3"/>
        <charset val="128"/>
      </rPr>
      <t xml:space="preserve">
</t>
    </r>
    <rPh sb="406" eb="408">
      <t>セキネ</t>
    </rPh>
    <phoneticPr fontId="3"/>
  </si>
  <si>
    <t>MAG 0°</t>
    <phoneticPr fontId="42"/>
  </si>
  <si>
    <t>自艇コミッティ</t>
  </si>
  <si>
    <t>曇り-はれ</t>
    <rPh sb="0" eb="1">
      <t>クモ</t>
    </rPh>
    <phoneticPr fontId="42"/>
  </si>
  <si>
    <t>波勝</t>
    <rPh sb="0" eb="2">
      <t>ハガチ</t>
    </rPh>
    <phoneticPr fontId="3"/>
  </si>
  <si>
    <t>ケロニア</t>
    <phoneticPr fontId="3"/>
  </si>
  <si>
    <t>吉岡</t>
    <rPh sb="0" eb="2">
      <t>ヨシオカ</t>
    </rPh>
    <phoneticPr fontId="3"/>
  </si>
  <si>
    <t>石原</t>
    <rPh sb="0" eb="2">
      <t>イシハラ</t>
    </rPh>
    <phoneticPr fontId="3"/>
  </si>
  <si>
    <t>冨士本</t>
    <rPh sb="0" eb="3">
      <t>フジモト</t>
    </rPh>
    <phoneticPr fontId="3"/>
  </si>
  <si>
    <t>20190520</t>
    <phoneticPr fontId="3"/>
  </si>
  <si>
    <t>北北東～東南東</t>
    <rPh sb="0" eb="3">
      <t>ホクホクトウ</t>
    </rPh>
    <rPh sb="4" eb="7">
      <t>トウナントウ</t>
    </rPh>
    <phoneticPr fontId="42"/>
  </si>
  <si>
    <t>3～13 kt</t>
    <phoneticPr fontId="3"/>
  </si>
  <si>
    <t xml:space="preserve">【レースコメント】  
優勝せずにレースコメントを書く定位置のかまくらです、お疲れ様でした。午後吹いていた風が夕方にはパタリと落ち、微風のナイトレースとなった。スタート時のケース解消に手間取り、遅れを取ったが、明るくなって初島アプローチルートをうまく読み、ネプチューンを抜き、アルファに追いつき、アルファとかまくらが5時前にほぼ同時に回航した。回航前に藻が絡み2度目の720度をやって落とした事もあって後半の障害物競争は注意深く対応した。プラン通り南に出すことができず、ラムライン付近を走ってきた後続艇に抜かれてしまった。最後にスピンを上げ、やっと3位で終了した。コミッティーや、手伝っていただきました皆様、みさきヨット局運営、長い時間ありがとうございました。　（Kamakura3 尾山）
</t>
    <phoneticPr fontId="42"/>
  </si>
  <si>
    <t>原</t>
    <rPh sb="0" eb="1">
      <t>ハラ</t>
    </rPh>
    <phoneticPr fontId="3"/>
  </si>
  <si>
    <t>大谷</t>
    <rPh sb="0" eb="2">
      <t>オオタニ</t>
    </rPh>
    <phoneticPr fontId="3"/>
  </si>
  <si>
    <t>三好</t>
    <rPh sb="0" eb="2">
      <t>ミヨシ</t>
    </rPh>
    <phoneticPr fontId="3"/>
  </si>
  <si>
    <t>ケロニア</t>
    <phoneticPr fontId="3"/>
  </si>
  <si>
    <t>ケロニア</t>
    <phoneticPr fontId="3"/>
  </si>
  <si>
    <t>2019/6/16 現在</t>
    <rPh sb="10" eb="12">
      <t>ゲンザイ</t>
    </rPh>
    <phoneticPr fontId="4"/>
  </si>
  <si>
    <t xml:space="preserve">【レース委員会より】
低気圧接近にともない荒天となったため6/16開催のKFRを中止としました。
今回は各天気予報を参考とし6/15 昼に中止判断を行い、関係各艇へのKFRメーリングで
連絡を実施いたしました。
</t>
    <rPh sb="49" eb="51">
      <t>コンカイ</t>
    </rPh>
    <rPh sb="52" eb="53">
      <t>カク</t>
    </rPh>
    <rPh sb="53" eb="55">
      <t>テンキ</t>
    </rPh>
    <rPh sb="55" eb="57">
      <t>ヨホウ</t>
    </rPh>
    <rPh sb="58" eb="60">
      <t>サンコウ</t>
    </rPh>
    <rPh sb="67" eb="68">
      <t>ヒル</t>
    </rPh>
    <rPh sb="69" eb="71">
      <t>チュウシ</t>
    </rPh>
    <rPh sb="71" eb="73">
      <t>ハンダン</t>
    </rPh>
    <rPh sb="74" eb="75">
      <t>オコナ</t>
    </rPh>
    <rPh sb="77" eb="79">
      <t>カンケイ</t>
    </rPh>
    <rPh sb="79" eb="81">
      <t>カクテイ</t>
    </rPh>
    <rPh sb="93" eb="95">
      <t>レンラク</t>
    </rPh>
    <rPh sb="96" eb="98">
      <t>ジッシ</t>
    </rPh>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</si>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</sst>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76" formatCode="0_ "/>
    <numFmt numFmtId="177" formatCode="0.00_ "/>
    <numFmt numFmtId="178" formatCode="0.0_);[Red]\(0.0\)"/>
    <numFmt numFmtId="179" formatCode="0.0_ "/>
    <numFmt numFmtId="180" formatCode="hh:mm"/>
    <numFmt numFmtId="181" formatCode="0.0_ ;[Red]\-0.0\ "/>
    <numFmt numFmtId="182" formatCode="0.0"/>
    <numFmt numFmtId="183" formatCode="@&quot;コース&quot;"/>
    <numFmt numFmtId="184" formatCode="m/d;@"/>
    <numFmt numFmtId="185" formatCode="0.000_ "/>
    <numFmt numFmtId="186" formatCode="0.00_);[Red]\(0.00\)"/>
  </numFmts>
  <fonts count="82">
    <font>
      <sz val="11"/>
      <color theme="1"/>
      <name val="ＭＳ Ｐゴシック"/>
      <family val="3"/>
      <charset val="128"/>
      <scheme val="minor"/>
    </font>
    <font>
      <sz val="11"/>
      <color indexed="8"/>
      <name val="ＭＳ Ｐゴシック"/>
      <family val="3"/>
      <charset val="128"/>
    </font>
    <font>
      <sz val="13"/>
      <name val="ＭＳ 明朝"/>
      <family val="1"/>
      <charset val="128"/>
    </font>
    <font>
      <sz val="6"/>
      <name val="ＭＳ Ｐゴシック"/>
      <family val="3"/>
      <charset val="128"/>
    </font>
    <font>
      <sz val="6"/>
      <name val="ＭＳ Ｐゴシック"/>
      <family val="3"/>
      <charset val="128"/>
    </font>
    <font>
      <b/>
      <sz val="18"/>
      <name val="ＭＳ 明朝"/>
      <family val="1"/>
      <charset val="128"/>
    </font>
    <font>
      <sz val="12"/>
      <name val="ＭＳ 明朝"/>
      <family val="1"/>
      <charset val="128"/>
    </font>
    <font>
      <sz val="10"/>
      <name val="ＭＳ 明朝"/>
      <family val="1"/>
      <charset val="128"/>
    </font>
    <font>
      <sz val="11"/>
      <name val="ＭＳ 明朝"/>
      <family val="1"/>
      <charset val="128"/>
    </font>
    <font>
      <b/>
      <sz val="16"/>
      <name val="ＭＳ Ｐ明朝"/>
      <family val="1"/>
      <charset val="128"/>
    </font>
    <font>
      <sz val="12"/>
      <name val="ＭＳ Ｐ明朝"/>
      <family val="1"/>
      <charset val="128"/>
    </font>
    <font>
      <sz val="10"/>
      <name val="ＭＳ Ｐ明朝"/>
      <family val="1"/>
      <charset val="128"/>
    </font>
    <font>
      <sz val="13"/>
      <name val="ＭＳ Ｐ明朝"/>
      <family val="1"/>
      <charset val="128"/>
    </font>
    <font>
      <sz val="12"/>
      <color indexed="8"/>
      <name val="ＭＳ Ｐゴシック"/>
      <family val="3"/>
      <charset val="128"/>
    </font>
    <font>
      <b/>
      <sz val="12"/>
      <name val="ＭＳ 明朝"/>
      <family val="1"/>
      <charset val="128"/>
    </font>
    <font>
      <b/>
      <sz val="13"/>
      <name val="ＭＳ 明朝"/>
      <family val="1"/>
      <charset val="128"/>
    </font>
    <font>
      <sz val="11"/>
      <name val="ＭＳ Ｐゴシック"/>
      <family val="3"/>
      <charset val="128"/>
    </font>
    <font>
      <b/>
      <sz val="16"/>
      <name val="ＭＳ 明朝"/>
      <family val="1"/>
      <charset val="128"/>
    </font>
    <font>
      <sz val="12"/>
      <color indexed="10"/>
      <name val="ＭＳ 明朝"/>
      <family val="1"/>
      <charset val="128"/>
    </font>
    <font>
      <sz val="11"/>
      <color indexed="8"/>
      <name val="ＭＳ 明朝"/>
      <family val="1"/>
      <charset val="128"/>
    </font>
    <font>
      <sz val="12"/>
      <name val="ＭＳ Ｐゴシック"/>
      <family val="3"/>
      <charset val="128"/>
    </font>
    <font>
      <b/>
      <sz val="11"/>
      <color indexed="8"/>
      <name val="Meiryo UI"/>
      <family val="3"/>
      <charset val="128"/>
    </font>
    <font>
      <sz val="11"/>
      <color indexed="8"/>
      <name val="Meiryo UI"/>
      <family val="3"/>
      <charset val="128"/>
    </font>
    <font>
      <sz val="6"/>
      <name val="ＭＳ Ｐゴシック"/>
      <family val="3"/>
      <charset val="128"/>
    </font>
    <font>
      <sz val="8"/>
      <name val="ＭＳ 明朝"/>
      <family val="1"/>
      <charset val="128"/>
    </font>
    <font>
      <sz val="11"/>
      <color indexed="9"/>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明朝"/>
      <family val="1"/>
      <charset val="128"/>
    </font>
    <font>
      <b/>
      <sz val="11"/>
      <color indexed="56"/>
      <name val="ＭＳ Ｐゴシック"/>
      <family val="3"/>
      <charset val="128"/>
    </font>
    <font>
      <b/>
      <sz val="13"/>
      <color indexed="56"/>
      <name val="ＭＳ Ｐゴシック"/>
      <family val="3"/>
      <charset val="128"/>
    </font>
    <font>
      <b/>
      <sz val="15"/>
      <color indexed="56"/>
      <name val="ＭＳ Ｐゴシック"/>
      <family val="3"/>
      <charset val="128"/>
    </font>
    <font>
      <b/>
      <sz val="18"/>
      <color indexed="56"/>
      <name val="ＭＳ Ｐゴシック"/>
      <family val="3"/>
      <charset val="128"/>
    </font>
    <font>
      <sz val="6"/>
      <name val="ＭＳ Ｐゴシック"/>
      <family val="3"/>
      <charset val="128"/>
    </font>
    <font>
      <sz val="11"/>
      <color theme="1"/>
      <name val="ＭＳ Ｐゴシック"/>
      <family val="3"/>
      <charset val="128"/>
      <scheme val="minor"/>
    </font>
    <font>
      <sz val="10"/>
      <color rgb="FFFF0000"/>
      <name val="ＭＳ 明朝"/>
      <family val="1"/>
      <charset val="128"/>
    </font>
    <font>
      <sz val="14"/>
      <color theme="1"/>
      <name val="ＭＳ Ｐゴシック"/>
      <family val="3"/>
      <charset val="128"/>
      <scheme val="minor"/>
    </font>
    <font>
      <b/>
      <sz val="14"/>
      <color theme="1"/>
      <name val="ＭＳ Ｐ明朝"/>
      <family val="1"/>
      <charset val="128"/>
    </font>
    <font>
      <b/>
      <sz val="14"/>
      <color theme="1"/>
      <name val="ＭＳ Ｐゴシック"/>
      <family val="3"/>
      <charset val="128"/>
      <scheme val="minor"/>
    </font>
    <font>
      <b/>
      <sz val="12"/>
      <color theme="1"/>
      <name val="ＭＳ Ｐゴシック"/>
      <family val="3"/>
      <charset val="128"/>
      <scheme val="minor"/>
    </font>
    <font>
      <sz val="8"/>
      <color rgb="FFFF0000"/>
      <name val="ＭＳ Ｐゴシック"/>
      <family val="3"/>
      <charset val="128"/>
      <scheme val="minor"/>
    </font>
    <font>
      <sz val="11"/>
      <color theme="1"/>
      <name val="Meiryo UI"/>
      <family val="3"/>
      <charset val="128"/>
    </font>
    <font>
      <sz val="12"/>
      <name val="ＭＳ Ｐゴシック"/>
      <family val="3"/>
      <charset val="128"/>
      <scheme val="minor"/>
    </font>
    <font>
      <sz val="11"/>
      <name val="ＭＳ Ｐゴシック"/>
      <family val="3"/>
      <charset val="128"/>
      <scheme val="minor"/>
    </font>
    <font>
      <sz val="13"/>
      <name val="HGSｺﾞｼｯｸM"/>
      <family val="3"/>
      <charset val="128"/>
    </font>
    <font>
      <b/>
      <sz val="18"/>
      <name val="HGSｺﾞｼｯｸM"/>
      <family val="3"/>
      <charset val="128"/>
    </font>
    <font>
      <b/>
      <sz val="14"/>
      <name val="HGSｺﾞｼｯｸM"/>
      <family val="3"/>
      <charset val="128"/>
    </font>
    <font>
      <b/>
      <sz val="16"/>
      <color rgb="FFFF0000"/>
      <name val="HGSｺﾞｼｯｸM"/>
      <family val="3"/>
      <charset val="128"/>
    </font>
    <font>
      <b/>
      <sz val="13"/>
      <name val="HGSｺﾞｼｯｸM"/>
      <family val="3"/>
      <charset val="128"/>
    </font>
    <font>
      <b/>
      <sz val="10"/>
      <name val="HGSｺﾞｼｯｸM"/>
      <family val="3"/>
      <charset val="128"/>
    </font>
    <font>
      <sz val="11"/>
      <color theme="1"/>
      <name val="HGSｺﾞｼｯｸM"/>
      <family val="3"/>
      <charset val="128"/>
    </font>
    <font>
      <b/>
      <sz val="12"/>
      <name val="HGSｺﾞｼｯｸM"/>
      <family val="3"/>
      <charset val="128"/>
    </font>
    <font>
      <b/>
      <sz val="11"/>
      <name val="HGSｺﾞｼｯｸM"/>
      <family val="3"/>
      <charset val="128"/>
    </font>
    <font>
      <b/>
      <sz val="8"/>
      <name val="HGSｺﾞｼｯｸM"/>
      <family val="3"/>
      <charset val="128"/>
    </font>
    <font>
      <sz val="11"/>
      <name val="HGSｺﾞｼｯｸM"/>
      <family val="3"/>
      <charset val="128"/>
    </font>
    <font>
      <sz val="10"/>
      <name val="HGSｺﾞｼｯｸM"/>
      <family val="3"/>
      <charset val="128"/>
    </font>
    <font>
      <sz val="12"/>
      <name val="HGSｺﾞｼｯｸM"/>
      <family val="3"/>
      <charset val="128"/>
    </font>
    <font>
      <sz val="9"/>
      <name val="HGSｺﾞｼｯｸM"/>
      <family val="3"/>
      <charset val="128"/>
    </font>
    <font>
      <sz val="10"/>
      <color indexed="10"/>
      <name val="HGSｺﾞｼｯｸM"/>
      <family val="3"/>
      <charset val="128"/>
    </font>
    <font>
      <sz val="11"/>
      <color theme="1"/>
      <name val="HGPｺﾞｼｯｸM"/>
      <family val="3"/>
      <charset val="128"/>
    </font>
    <font>
      <b/>
      <sz val="16"/>
      <color theme="1"/>
      <name val="HGSｺﾞｼｯｸM"/>
      <family val="3"/>
      <charset val="128"/>
    </font>
    <font>
      <b/>
      <sz val="12"/>
      <color theme="1"/>
      <name val="HGSｺﾞｼｯｸM"/>
      <family val="3"/>
      <charset val="128"/>
    </font>
    <font>
      <sz val="10"/>
      <color rgb="FFFF0000"/>
      <name val="HGSｺﾞｼｯｸM"/>
      <family val="3"/>
      <charset val="128"/>
    </font>
    <font>
      <sz val="10.5"/>
      <name val="HGSｺﾞｼｯｸM"/>
      <family val="3"/>
      <charset val="128"/>
    </font>
    <font>
      <b/>
      <sz val="16"/>
      <name val="HGSｺﾞｼｯｸM"/>
      <family val="3"/>
      <charset val="128"/>
    </font>
    <font>
      <b/>
      <sz val="11"/>
      <color theme="1"/>
      <name val="HGSｺﾞｼｯｸM"/>
      <family val="3"/>
      <charset val="128"/>
    </font>
    <font>
      <sz val="12"/>
      <color theme="1"/>
      <name val="HGSｺﾞｼｯｸM"/>
      <family val="3"/>
      <charset val="128"/>
    </font>
    <font>
      <sz val="12"/>
      <color rgb="FF0070C0"/>
      <name val="HGSｺﾞｼｯｸM"/>
      <family val="3"/>
      <charset val="128"/>
    </font>
    <font>
      <sz val="11"/>
      <color indexed="8"/>
      <name val="HGSｺﾞｼｯｸM"/>
      <family val="3"/>
      <charset val="128"/>
    </font>
    <font>
      <sz val="12"/>
      <color theme="1"/>
      <name val="ＭＳ Ｐゴシック"/>
      <family val="3"/>
      <charset val="128"/>
    </font>
    <font>
      <sz val="12"/>
      <color rgb="FF00B0F0"/>
      <name val="ＭＳ Ｐゴシック"/>
      <family val="3"/>
      <charset val="128"/>
    </font>
    <font>
      <sz val="11"/>
      <color rgb="FF00B0F0"/>
      <name val="ＭＳ 明朝"/>
      <family val="1"/>
      <charset val="128"/>
    </font>
    <font>
      <sz val="11"/>
      <color theme="1"/>
      <name val="ＭＳ 明朝"/>
      <family val="1"/>
      <charset val="128"/>
    </font>
  </fonts>
  <fills count="29">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26"/>
      </patternFill>
    </fill>
    <fill>
      <patternFill patternType="solid">
        <fgColor theme="0"/>
        <bgColor indexed="64"/>
      </patternFill>
    </fill>
    <fill>
      <patternFill patternType="solid">
        <fgColor theme="0" tint="-0.14999847407452621"/>
        <bgColor indexed="64"/>
      </patternFill>
    </fill>
    <fill>
      <patternFill patternType="solid">
        <fgColor theme="0"/>
        <bgColor indexed="26"/>
      </patternFill>
    </fill>
    <fill>
      <patternFill patternType="gray125">
        <bgColor theme="0"/>
      </patternFill>
    </fill>
  </fills>
  <borders count="1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hair">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hair">
        <color indexed="64"/>
      </bottom>
      <diagonal/>
    </border>
    <border>
      <left style="double">
        <color indexed="64"/>
      </left>
      <right style="medium">
        <color indexed="64"/>
      </right>
      <top style="hair">
        <color indexed="64"/>
      </top>
      <bottom style="hair">
        <color indexed="64"/>
      </bottom>
      <diagonal/>
    </border>
    <border>
      <left style="double">
        <color indexed="64"/>
      </left>
      <right style="medium">
        <color indexed="64"/>
      </right>
      <top style="hair">
        <color indexed="64"/>
      </top>
      <bottom style="thin">
        <color indexed="64"/>
      </bottom>
      <diagonal/>
    </border>
    <border>
      <left style="double">
        <color indexed="64"/>
      </left>
      <right style="medium">
        <color indexed="64"/>
      </right>
      <top/>
      <bottom style="hair">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style="medium">
        <color indexed="64"/>
      </bottom>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s>
  <cellStyleXfs count="4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5" fillId="12"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9" borderId="0" applyNumberFormat="0" applyBorder="0" applyAlignment="0" applyProtection="0">
      <alignment vertical="center"/>
    </xf>
    <xf numFmtId="0" fontId="41" fillId="0" borderId="0" applyNumberFormat="0" applyFill="0" applyBorder="0" applyAlignment="0" applyProtection="0">
      <alignment vertical="center"/>
    </xf>
    <xf numFmtId="0" fontId="26" fillId="20" borderId="1" applyNumberFormat="0" applyAlignment="0" applyProtection="0">
      <alignment vertical="center"/>
    </xf>
    <xf numFmtId="0" fontId="27" fillId="21" borderId="0" applyNumberFormat="0" applyBorder="0" applyAlignment="0" applyProtection="0">
      <alignment vertical="center"/>
    </xf>
    <xf numFmtId="0" fontId="6" fillId="22" borderId="2" applyNumberFormat="0" applyFont="0" applyAlignment="0" applyProtection="0">
      <alignment vertical="center"/>
    </xf>
    <xf numFmtId="0" fontId="28" fillId="0" borderId="3" applyNumberFormat="0" applyFill="0" applyAlignment="0" applyProtection="0">
      <alignment vertical="center"/>
    </xf>
    <xf numFmtId="0" fontId="29" fillId="3" borderId="0" applyNumberFormat="0" applyBorder="0" applyAlignment="0" applyProtection="0">
      <alignment vertical="center"/>
    </xf>
    <xf numFmtId="0" fontId="30" fillId="23" borderId="4" applyNumberFormat="0" applyAlignment="0" applyProtection="0">
      <alignment vertical="center"/>
    </xf>
    <xf numFmtId="0" fontId="31" fillId="0" borderId="0" applyNumberFormat="0" applyFill="0" applyBorder="0" applyAlignment="0" applyProtection="0">
      <alignment vertical="center"/>
    </xf>
    <xf numFmtId="0" fontId="40" fillId="0" borderId="5" applyNumberFormat="0" applyFill="0" applyAlignment="0" applyProtection="0">
      <alignment vertical="center"/>
    </xf>
    <xf numFmtId="0" fontId="39" fillId="0" borderId="6" applyNumberFormat="0" applyFill="0" applyAlignment="0" applyProtection="0">
      <alignment vertical="center"/>
    </xf>
    <xf numFmtId="0" fontId="38" fillId="0" borderId="7" applyNumberFormat="0" applyFill="0" applyAlignment="0" applyProtection="0">
      <alignment vertical="center"/>
    </xf>
    <xf numFmtId="0" fontId="38" fillId="0" borderId="0" applyNumberFormat="0" applyFill="0" applyBorder="0" applyAlignment="0" applyProtection="0">
      <alignment vertical="center"/>
    </xf>
    <xf numFmtId="0" fontId="32" fillId="0" borderId="8" applyNumberFormat="0" applyFill="0" applyAlignment="0" applyProtection="0">
      <alignment vertical="center"/>
    </xf>
    <xf numFmtId="0" fontId="33" fillId="23" borderId="9" applyNumberFormat="0" applyAlignment="0" applyProtection="0">
      <alignment vertical="center"/>
    </xf>
    <xf numFmtId="0" fontId="34" fillId="0" borderId="0" applyNumberFormat="0" applyFill="0" applyBorder="0" applyAlignment="0" applyProtection="0">
      <alignment vertical="center"/>
    </xf>
    <xf numFmtId="0" fontId="35" fillId="7" borderId="4" applyNumberFormat="0" applyAlignment="0" applyProtection="0">
      <alignment vertical="center"/>
    </xf>
    <xf numFmtId="0" fontId="43" fillId="0" borderId="0">
      <alignment vertical="center"/>
    </xf>
    <xf numFmtId="0" fontId="16" fillId="0" borderId="0"/>
    <xf numFmtId="0" fontId="6" fillId="0" borderId="0"/>
    <xf numFmtId="0" fontId="37" fillId="0" borderId="0"/>
    <xf numFmtId="0" fontId="36" fillId="4" borderId="0" applyNumberFormat="0" applyBorder="0" applyAlignment="0" applyProtection="0">
      <alignment vertical="center"/>
    </xf>
    <xf numFmtId="38" fontId="43" fillId="0" borderId="0" applyFont="0" applyFill="0" applyBorder="0" applyAlignment="0" applyProtection="0">
      <alignment vertical="center"/>
    </xf>
  </cellStyleXfs>
  <cellXfs count="576">
    <xf numFmtId="0" fontId="0" fillId="0" borderId="0" xfId="0">
      <alignment vertical="center"/>
    </xf>
    <xf numFmtId="0" fontId="2" fillId="0" borderId="0" xfId="0" applyFont="1" applyAlignment="1"/>
    <xf numFmtId="0" fontId="6" fillId="0" borderId="0" xfId="0" applyFont="1" applyAlignment="1"/>
    <xf numFmtId="0" fontId="8" fillId="0" borderId="0" xfId="0" applyFont="1" applyAlignment="1"/>
    <xf numFmtId="0" fontId="10" fillId="0" borderId="0" xfId="0" applyFont="1" applyAlignment="1"/>
    <xf numFmtId="0" fontId="12" fillId="0" borderId="14" xfId="0" applyFont="1" applyBorder="1" applyAlignment="1">
      <alignment horizontal="center"/>
    </xf>
    <xf numFmtId="176" fontId="12" fillId="0" borderId="14" xfId="0" applyNumberFormat="1" applyFont="1" applyBorder="1" applyAlignment="1">
      <alignment horizontal="center"/>
    </xf>
    <xf numFmtId="176" fontId="10" fillId="0" borderId="0" xfId="0" applyNumberFormat="1" applyFont="1" applyAlignment="1"/>
    <xf numFmtId="176" fontId="12" fillId="0" borderId="15" xfId="0" applyNumberFormat="1" applyFont="1" applyBorder="1" applyAlignment="1">
      <alignment horizontal="center"/>
    </xf>
    <xf numFmtId="0" fontId="0" fillId="0" borderId="16" xfId="0" applyBorder="1" applyAlignment="1">
      <alignment horizontal="center"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19" xfId="0" applyBorder="1" applyAlignment="1">
      <alignment horizontal="center" vertical="center"/>
    </xf>
    <xf numFmtId="0" fontId="0" fillId="0" borderId="18" xfId="0" applyBorder="1" applyAlignment="1">
      <alignment horizontal="center" vertical="center"/>
    </xf>
    <xf numFmtId="176" fontId="12" fillId="0" borderId="0" xfId="0" applyNumberFormat="1" applyFont="1" applyAlignment="1">
      <alignment horizontal="center"/>
    </xf>
    <xf numFmtId="0" fontId="0" fillId="0" borderId="21" xfId="0" applyBorder="1">
      <alignment vertical="center"/>
    </xf>
    <xf numFmtId="0" fontId="0" fillId="0" borderId="22" xfId="0" applyBorder="1">
      <alignment vertical="center"/>
    </xf>
    <xf numFmtId="0" fontId="2" fillId="0" borderId="16" xfId="0" applyFont="1" applyBorder="1" applyAlignment="1">
      <alignment horizontal="center"/>
    </xf>
    <xf numFmtId="178" fontId="6" fillId="0" borderId="10" xfId="0" applyNumberFormat="1" applyFont="1" applyBorder="1" applyAlignment="1"/>
    <xf numFmtId="181" fontId="6" fillId="0" borderId="21" xfId="0" applyNumberFormat="1" applyFont="1" applyBorder="1" applyAlignment="1">
      <alignment horizontal="right"/>
    </xf>
    <xf numFmtId="0" fontId="44" fillId="0" borderId="0" xfId="0" applyFont="1" applyAlignment="1"/>
    <xf numFmtId="0" fontId="8" fillId="0" borderId="29" xfId="0" applyFont="1" applyBorder="1" applyAlignment="1">
      <alignment horizontal="center"/>
    </xf>
    <xf numFmtId="0" fontId="8" fillId="0" borderId="18" xfId="0" applyFont="1" applyBorder="1" applyAlignment="1">
      <alignment horizontal="center"/>
    </xf>
    <xf numFmtId="0" fontId="8" fillId="0" borderId="19" xfId="0" applyFont="1" applyBorder="1" applyAlignment="1">
      <alignment horizontal="center"/>
    </xf>
    <xf numFmtId="0" fontId="0" fillId="0" borderId="20" xfId="0" applyBorder="1" applyAlignment="1">
      <alignment horizontal="center" vertical="center"/>
    </xf>
    <xf numFmtId="0" fontId="14" fillId="0" borderId="30" xfId="0" applyFont="1" applyBorder="1" applyAlignment="1">
      <alignment horizontal="center"/>
    </xf>
    <xf numFmtId="0" fontId="14" fillId="0" borderId="31" xfId="0" applyFont="1" applyBorder="1" applyAlignment="1">
      <alignment horizontal="center"/>
    </xf>
    <xf numFmtId="0" fontId="10" fillId="0" borderId="14" xfId="0" applyFont="1" applyBorder="1" applyAlignment="1"/>
    <xf numFmtId="181" fontId="6" fillId="0" borderId="10" xfId="0" applyNumberFormat="1" applyFont="1" applyBorder="1" applyAlignment="1">
      <alignment horizontal="right" vertical="top"/>
    </xf>
    <xf numFmtId="0" fontId="12" fillId="0" borderId="18" xfId="0" applyFont="1" applyBorder="1" applyAlignment="1">
      <alignment horizontal="center"/>
    </xf>
    <xf numFmtId="0" fontId="45" fillId="0" borderId="0" xfId="0" applyFont="1">
      <alignment vertical="center"/>
    </xf>
    <xf numFmtId="0" fontId="46" fillId="0" borderId="0" xfId="0" applyFont="1">
      <alignment vertical="center"/>
    </xf>
    <xf numFmtId="0" fontId="47" fillId="0" borderId="0" xfId="0" applyFont="1">
      <alignment vertical="center"/>
    </xf>
    <xf numFmtId="0" fontId="47" fillId="0" borderId="0" xfId="0" applyFont="1" applyAlignment="1">
      <alignment horizontal="center" vertical="center"/>
    </xf>
    <xf numFmtId="180" fontId="2" fillId="0" borderId="18" xfId="0" applyNumberFormat="1" applyFont="1" applyBorder="1" applyAlignment="1">
      <alignment horizontal="center" vertical="center"/>
    </xf>
    <xf numFmtId="180" fontId="2" fillId="0" borderId="19" xfId="0" applyNumberFormat="1" applyFont="1" applyBorder="1" applyAlignment="1">
      <alignment horizontal="center" vertical="center"/>
    </xf>
    <xf numFmtId="0" fontId="8" fillId="0" borderId="14" xfId="0" applyFont="1" applyBorder="1" applyAlignment="1">
      <alignment horizontal="center"/>
    </xf>
    <xf numFmtId="0" fontId="0" fillId="0" borderId="14" xfId="0" applyBorder="1">
      <alignment vertical="center"/>
    </xf>
    <xf numFmtId="0" fontId="6" fillId="0" borderId="31" xfId="0" applyFont="1" applyBorder="1" applyAlignment="1">
      <alignment horizontal="center"/>
    </xf>
    <xf numFmtId="0" fontId="15" fillId="0" borderId="0" xfId="0" applyFont="1" applyAlignment="1"/>
    <xf numFmtId="0" fontId="14" fillId="0" borderId="42" xfId="0" applyFont="1" applyBorder="1" applyAlignment="1">
      <alignment horizontal="center"/>
    </xf>
    <xf numFmtId="0" fontId="8" fillId="0" borderId="43" xfId="0" applyFont="1" applyBorder="1" applyAlignment="1">
      <alignment horizontal="center"/>
    </xf>
    <xf numFmtId="0" fontId="8" fillId="0" borderId="44" xfId="0" applyFont="1" applyBorder="1" applyAlignment="1">
      <alignment horizontal="center"/>
    </xf>
    <xf numFmtId="178" fontId="6" fillId="0" borderId="36" xfId="0" applyNumberFormat="1" applyFont="1" applyBorder="1" applyAlignment="1"/>
    <xf numFmtId="178" fontId="6" fillId="0" borderId="45" xfId="0" applyNumberFormat="1" applyFont="1" applyBorder="1" applyAlignment="1"/>
    <xf numFmtId="178" fontId="6" fillId="0" borderId="22" xfId="0" applyNumberFormat="1" applyFont="1" applyBorder="1" applyAlignment="1"/>
    <xf numFmtId="178" fontId="6" fillId="0" borderId="33" xfId="0" applyNumberFormat="1" applyFont="1" applyBorder="1" applyAlignment="1"/>
    <xf numFmtId="178" fontId="6" fillId="0" borderId="21" xfId="0" applyNumberFormat="1" applyFont="1" applyBorder="1" applyAlignment="1"/>
    <xf numFmtId="181" fontId="6" fillId="0" borderId="36" xfId="0" applyNumberFormat="1" applyFont="1" applyBorder="1" applyAlignment="1">
      <alignment horizontal="right" vertical="top"/>
    </xf>
    <xf numFmtId="181" fontId="6" fillId="0" borderId="45" xfId="0" applyNumberFormat="1" applyFont="1" applyBorder="1" applyAlignment="1">
      <alignment horizontal="right"/>
    </xf>
    <xf numFmtId="181" fontId="6" fillId="0" borderId="22" xfId="0" applyNumberFormat="1" applyFont="1" applyBorder="1" applyAlignment="1">
      <alignment horizontal="right" vertical="top"/>
    </xf>
    <xf numFmtId="181" fontId="6" fillId="0" borderId="33" xfId="0" applyNumberFormat="1" applyFont="1" applyBorder="1" applyAlignment="1">
      <alignment horizontal="right" vertical="top"/>
    </xf>
    <xf numFmtId="0" fontId="48" fillId="0" borderId="0" xfId="0" applyFont="1">
      <alignment vertical="center"/>
    </xf>
    <xf numFmtId="0" fontId="0" fillId="0" borderId="46" xfId="0" applyBorder="1" applyAlignment="1">
      <alignment horizontal="center" vertical="center"/>
    </xf>
    <xf numFmtId="0" fontId="0" fillId="0" borderId="33" xfId="0" applyBorder="1">
      <alignment vertical="center"/>
    </xf>
    <xf numFmtId="0" fontId="0" fillId="0" borderId="0" xfId="0" applyAlignment="1">
      <alignment horizontal="center" vertical="center"/>
    </xf>
    <xf numFmtId="56" fontId="2" fillId="0" borderId="19" xfId="0" applyNumberFormat="1" applyFont="1" applyBorder="1" applyAlignment="1">
      <alignment horizontal="right" vertical="center"/>
    </xf>
    <xf numFmtId="56" fontId="2" fillId="0" borderId="20" xfId="0" applyNumberFormat="1" applyFont="1" applyBorder="1" applyAlignment="1">
      <alignment horizontal="right" vertical="center"/>
    </xf>
    <xf numFmtId="0" fontId="12" fillId="0" borderId="20" xfId="0" applyFont="1" applyBorder="1" applyAlignment="1">
      <alignment horizontal="center"/>
    </xf>
    <xf numFmtId="0" fontId="0" fillId="0" borderId="32" xfId="0" applyBorder="1" applyAlignment="1">
      <alignment horizontal="center" vertical="center"/>
    </xf>
    <xf numFmtId="0" fontId="0" fillId="0" borderId="48" xfId="0" applyBorder="1">
      <alignment vertical="center"/>
    </xf>
    <xf numFmtId="0" fontId="49" fillId="0" borderId="0" xfId="0" applyFont="1">
      <alignment vertical="center"/>
    </xf>
    <xf numFmtId="0" fontId="17" fillId="0" borderId="0" xfId="0" applyFont="1" applyAlignment="1"/>
    <xf numFmtId="0" fontId="8" fillId="0" borderId="0" xfId="0" applyFont="1" applyAlignment="1">
      <alignment horizontal="center"/>
    </xf>
    <xf numFmtId="0" fontId="8" fillId="0" borderId="0" xfId="0" applyFont="1" applyAlignment="1">
      <alignment shrinkToFit="1"/>
    </xf>
    <xf numFmtId="56" fontId="8" fillId="0" borderId="58" xfId="0" applyNumberFormat="1" applyFont="1" applyBorder="1" applyAlignment="1">
      <alignment vertical="center" shrinkToFit="1"/>
    </xf>
    <xf numFmtId="183" fontId="8" fillId="0" borderId="59" xfId="0" applyNumberFormat="1" applyFont="1" applyBorder="1" applyAlignment="1">
      <alignment vertical="center" shrinkToFit="1"/>
    </xf>
    <xf numFmtId="183" fontId="8" fillId="0" borderId="60" xfId="0" applyNumberFormat="1" applyFont="1" applyBorder="1" applyAlignment="1">
      <alignment vertical="center" shrinkToFit="1"/>
    </xf>
    <xf numFmtId="0" fontId="6" fillId="0" borderId="61" xfId="0" applyFont="1" applyBorder="1" applyAlignment="1">
      <alignment horizontal="center" vertical="center" shrinkToFit="1"/>
    </xf>
    <xf numFmtId="0" fontId="8" fillId="0" borderId="62" xfId="0" applyFont="1" applyBorder="1" applyAlignment="1">
      <alignment horizontal="center" vertical="center" shrinkToFit="1"/>
    </xf>
    <xf numFmtId="176" fontId="6" fillId="0" borderId="63" xfId="0" applyNumberFormat="1" applyFont="1" applyBorder="1" applyAlignment="1">
      <alignment horizontal="center" vertical="center" shrinkToFit="1"/>
    </xf>
    <xf numFmtId="0" fontId="6" fillId="0" borderId="64" xfId="0" applyFont="1" applyBorder="1" applyAlignment="1">
      <alignment horizontal="center" vertical="center" shrinkToFit="1"/>
    </xf>
    <xf numFmtId="0" fontId="6" fillId="0" borderId="65" xfId="0" applyFont="1" applyBorder="1" applyAlignment="1">
      <alignment horizontal="center" vertical="center" shrinkToFit="1"/>
    </xf>
    <xf numFmtId="176" fontId="6" fillId="0" borderId="66" xfId="0" applyNumberFormat="1" applyFont="1" applyBorder="1" applyAlignment="1">
      <alignment horizontal="center" vertical="center" shrinkToFit="1"/>
    </xf>
    <xf numFmtId="0" fontId="6" fillId="0" borderId="67" xfId="0" applyFont="1" applyBorder="1" applyAlignment="1">
      <alignment horizontal="center" vertical="center" shrinkToFit="1"/>
    </xf>
    <xf numFmtId="0" fontId="6" fillId="0" borderId="68" xfId="0" applyFont="1" applyBorder="1" applyAlignment="1">
      <alignment horizontal="center" vertical="center" shrinkToFit="1"/>
    </xf>
    <xf numFmtId="0" fontId="6" fillId="0" borderId="69" xfId="0" applyFont="1" applyBorder="1" applyAlignment="1">
      <alignment horizontal="center" vertical="center" shrinkToFit="1"/>
    </xf>
    <xf numFmtId="176" fontId="6" fillId="0" borderId="67" xfId="0" applyNumberFormat="1" applyFont="1" applyBorder="1" applyAlignment="1">
      <alignment horizontal="center" vertical="center" shrinkToFit="1"/>
    </xf>
    <xf numFmtId="176" fontId="6" fillId="0" borderId="69" xfId="0" applyNumberFormat="1" applyFont="1" applyBorder="1" applyAlignment="1">
      <alignment horizontal="center" vertical="center" shrinkToFit="1"/>
    </xf>
    <xf numFmtId="176" fontId="6" fillId="0" borderId="70" xfId="0" applyNumberFormat="1" applyFont="1" applyBorder="1" applyAlignment="1">
      <alignment horizontal="center" vertical="center" shrinkToFit="1"/>
    </xf>
    <xf numFmtId="176" fontId="6" fillId="0" borderId="71" xfId="0" applyNumberFormat="1" applyFont="1" applyBorder="1" applyAlignment="1">
      <alignment horizontal="center" vertical="center" shrinkToFit="1"/>
    </xf>
    <xf numFmtId="0" fontId="6" fillId="0" borderId="72" xfId="0" applyFont="1" applyBorder="1" applyAlignment="1">
      <alignment horizontal="center" vertical="center" shrinkToFit="1"/>
    </xf>
    <xf numFmtId="176" fontId="6" fillId="0" borderId="73" xfId="0" applyNumberFormat="1" applyFont="1" applyBorder="1" applyAlignment="1">
      <alignment horizontal="center" vertical="center" shrinkToFit="1"/>
    </xf>
    <xf numFmtId="176" fontId="6" fillId="0" borderId="74" xfId="0" applyNumberFormat="1" applyFont="1" applyBorder="1" applyAlignment="1">
      <alignment horizontal="center" vertical="center" shrinkToFit="1"/>
    </xf>
    <xf numFmtId="0" fontId="6" fillId="0" borderId="75" xfId="0" applyFont="1" applyBorder="1" applyAlignment="1">
      <alignment horizontal="center" vertical="center" shrinkToFit="1"/>
    </xf>
    <xf numFmtId="176" fontId="6" fillId="0" borderId="76" xfId="0" applyNumberFormat="1" applyFont="1" applyBorder="1" applyAlignment="1">
      <alignment horizontal="center" vertical="center" shrinkToFit="1"/>
    </xf>
    <xf numFmtId="0" fontId="6" fillId="0" borderId="0" xfId="0" applyFont="1" applyAlignment="1">
      <alignment shrinkToFit="1"/>
    </xf>
    <xf numFmtId="176" fontId="6" fillId="0" borderId="0" xfId="0" applyNumberFormat="1" applyFont="1" applyAlignment="1">
      <alignment horizontal="center" vertical="center" shrinkToFit="1"/>
    </xf>
    <xf numFmtId="0" fontId="6" fillId="0" borderId="0" xfId="0" applyFont="1" applyAlignment="1">
      <alignment horizontal="center" vertical="center" shrinkToFit="1"/>
    </xf>
    <xf numFmtId="0" fontId="0" fillId="0" borderId="0" xfId="0" applyAlignment="1"/>
    <xf numFmtId="14" fontId="0" fillId="0" borderId="14" xfId="0" applyNumberFormat="1" applyBorder="1" applyAlignment="1"/>
    <xf numFmtId="14" fontId="0" fillId="0" borderId="0" xfId="0" applyNumberFormat="1" applyAlignment="1"/>
    <xf numFmtId="56" fontId="7" fillId="0" borderId="58" xfId="0" applyNumberFormat="1" applyFont="1" applyBorder="1" applyAlignment="1">
      <alignment vertical="center" shrinkToFit="1"/>
    </xf>
    <xf numFmtId="0" fontId="0" fillId="0" borderId="15" xfId="0" applyBorder="1" applyAlignment="1"/>
    <xf numFmtId="0" fontId="0" fillId="0" borderId="32" xfId="0" applyBorder="1" applyAlignment="1"/>
    <xf numFmtId="0" fontId="0" fillId="0" borderId="16" xfId="0" applyBorder="1" applyAlignment="1"/>
    <xf numFmtId="0" fontId="0" fillId="0" borderId="22" xfId="0" applyBorder="1" applyAlignment="1"/>
    <xf numFmtId="14" fontId="0" fillId="0" borderId="33" xfId="0" applyNumberFormat="1" applyBorder="1" applyAlignment="1"/>
    <xf numFmtId="0" fontId="0" fillId="24" borderId="14" xfId="0" applyFill="1" applyBorder="1" applyAlignment="1">
      <alignment horizontal="left" indent="1"/>
    </xf>
    <xf numFmtId="0" fontId="13" fillId="24" borderId="14" xfId="0" applyFont="1" applyFill="1" applyBorder="1" applyAlignment="1"/>
    <xf numFmtId="185" fontId="0" fillId="24" borderId="14" xfId="0" applyNumberFormat="1" applyFill="1" applyBorder="1" applyAlignment="1"/>
    <xf numFmtId="185" fontId="10" fillId="0" borderId="14" xfId="0" applyNumberFormat="1" applyFont="1" applyBorder="1" applyAlignment="1"/>
    <xf numFmtId="179" fontId="0" fillId="24" borderId="14" xfId="0" applyNumberFormat="1" applyFill="1" applyBorder="1" applyAlignment="1"/>
    <xf numFmtId="179" fontId="10" fillId="0" borderId="14" xfId="0" applyNumberFormat="1" applyFont="1" applyBorder="1" applyAlignment="1"/>
    <xf numFmtId="0" fontId="21" fillId="0" borderId="0" xfId="0" applyFont="1" applyAlignment="1">
      <alignment horizontal="right" vertical="center"/>
    </xf>
    <xf numFmtId="31" fontId="22" fillId="0" borderId="0" xfId="0" applyNumberFormat="1" applyFont="1" applyAlignment="1">
      <alignment horizontal="right" vertical="center"/>
    </xf>
    <xf numFmtId="0" fontId="50" fillId="0" borderId="0" xfId="0" applyFont="1">
      <alignment vertical="center"/>
    </xf>
    <xf numFmtId="0" fontId="21" fillId="0" borderId="0" xfId="0" applyFont="1" applyAlignment="1">
      <alignment horizontal="center" vertical="center"/>
    </xf>
    <xf numFmtId="0" fontId="21" fillId="0" borderId="93" xfId="0" applyFont="1" applyBorder="1" applyAlignment="1">
      <alignment horizontal="center" vertical="center"/>
    </xf>
    <xf numFmtId="0" fontId="50" fillId="0" borderId="0" xfId="0" applyFont="1" applyAlignment="1">
      <alignment horizontal="center" vertical="center"/>
    </xf>
    <xf numFmtId="0" fontId="50" fillId="0" borderId="14" xfId="0" applyFont="1" applyBorder="1" applyAlignment="1">
      <alignment horizontal="center" vertical="center"/>
    </xf>
    <xf numFmtId="0" fontId="50" fillId="25" borderId="61" xfId="0" applyFont="1" applyFill="1" applyBorder="1" applyAlignment="1">
      <alignment horizontal="right" vertical="center"/>
    </xf>
    <xf numFmtId="0" fontId="50" fillId="26" borderId="14" xfId="0" applyFont="1" applyFill="1" applyBorder="1" applyAlignment="1">
      <alignment horizontal="left" vertical="center"/>
    </xf>
    <xf numFmtId="0" fontId="50" fillId="0" borderId="0" xfId="0" applyFont="1" applyAlignment="1">
      <alignment horizontal="right" vertical="center"/>
    </xf>
    <xf numFmtId="0" fontId="22" fillId="0" borderId="0" xfId="0" applyFont="1" applyAlignment="1">
      <alignment horizontal="left" vertical="center"/>
    </xf>
    <xf numFmtId="0" fontId="50" fillId="0" borderId="0" xfId="0" applyFont="1" applyAlignment="1">
      <alignment horizontal="left" vertical="center"/>
    </xf>
    <xf numFmtId="183" fontId="24" fillId="0" borderId="59" xfId="0" applyNumberFormat="1" applyFont="1" applyBorder="1" applyAlignment="1">
      <alignment vertical="center" wrapText="1" shrinkToFit="1"/>
    </xf>
    <xf numFmtId="14" fontId="11" fillId="0" borderId="0" xfId="0" quotePrefix="1" applyNumberFormat="1" applyFont="1" applyAlignment="1">
      <alignment horizontal="right" vertical="center"/>
    </xf>
    <xf numFmtId="0" fontId="20" fillId="0" borderId="14" xfId="0" applyFont="1" applyBorder="1" applyAlignment="1"/>
    <xf numFmtId="176" fontId="20" fillId="0" borderId="14" xfId="0" applyNumberFormat="1" applyFont="1" applyBorder="1" applyAlignment="1"/>
    <xf numFmtId="0" fontId="51" fillId="0" borderId="14" xfId="0" applyFont="1" applyBorder="1" applyAlignment="1"/>
    <xf numFmtId="0" fontId="13" fillId="0" borderId="14" xfId="0" applyFont="1" applyBorder="1" applyAlignment="1"/>
    <xf numFmtId="0" fontId="6" fillId="0" borderId="14" xfId="0" applyFont="1" applyBorder="1" applyAlignment="1"/>
    <xf numFmtId="0" fontId="0" fillId="0" borderId="14" xfId="0" applyBorder="1" applyAlignment="1">
      <alignment horizontal="left" vertical="center"/>
    </xf>
    <xf numFmtId="0" fontId="0" fillId="26" borderId="14" xfId="0" applyFill="1" applyBorder="1" applyAlignment="1">
      <alignment horizontal="left" vertical="center"/>
    </xf>
    <xf numFmtId="0" fontId="0" fillId="0" borderId="33" xfId="0" applyBorder="1" applyAlignment="1">
      <alignment horizontal="left" vertical="center"/>
    </xf>
    <xf numFmtId="0" fontId="0" fillId="26" borderId="33" xfId="0" applyFill="1" applyBorder="1" applyAlignment="1">
      <alignment horizontal="left" vertical="center"/>
    </xf>
    <xf numFmtId="56" fontId="2" fillId="0" borderId="0" xfId="0" applyNumberFormat="1" applyFont="1" applyAlignment="1">
      <alignment horizontal="right" vertical="center"/>
    </xf>
    <xf numFmtId="0" fontId="6" fillId="0" borderId="95" xfId="0" applyFont="1" applyBorder="1" applyAlignment="1">
      <alignment horizontal="center" vertical="center" shrinkToFit="1"/>
    </xf>
    <xf numFmtId="176" fontId="6" fillId="0" borderId="95" xfId="0" applyNumberFormat="1" applyFont="1" applyBorder="1" applyAlignment="1">
      <alignment horizontal="center" vertical="center" shrinkToFit="1"/>
    </xf>
    <xf numFmtId="176" fontId="6" fillId="0" borderId="96" xfId="0" applyNumberFormat="1" applyFont="1" applyBorder="1" applyAlignment="1">
      <alignment horizontal="center" vertical="center" shrinkToFit="1"/>
    </xf>
    <xf numFmtId="0" fontId="8" fillId="0" borderId="29" xfId="0" applyFont="1" applyBorder="1" applyAlignment="1">
      <alignment horizontal="center" vertical="center" shrinkToFit="1"/>
    </xf>
    <xf numFmtId="0" fontId="8" fillId="0" borderId="14" xfId="0" applyFont="1" applyBorder="1" applyAlignment="1">
      <alignment horizontal="center" vertical="center" shrinkToFit="1"/>
    </xf>
    <xf numFmtId="0" fontId="19" fillId="0" borderId="14" xfId="0" applyFont="1" applyBorder="1" applyAlignment="1">
      <alignment horizontal="center" vertical="center" shrinkToFit="1"/>
    </xf>
    <xf numFmtId="0" fontId="19" fillId="0" borderId="77" xfId="0" applyFont="1" applyBorder="1" applyAlignment="1">
      <alignment horizontal="center" vertical="center" shrinkToFit="1"/>
    </xf>
    <xf numFmtId="2" fontId="8" fillId="0" borderId="43" xfId="0" applyNumberFormat="1" applyFont="1" applyBorder="1">
      <alignment vertical="center"/>
    </xf>
    <xf numFmtId="2" fontId="8" fillId="0" borderId="29" xfId="0" applyNumberFormat="1" applyFont="1" applyBorder="1" applyAlignment="1">
      <alignment vertical="center" shrinkToFit="1"/>
    </xf>
    <xf numFmtId="2" fontId="8" fillId="0" borderId="44" xfId="0" applyNumberFormat="1" applyFont="1" applyBorder="1">
      <alignment vertical="center"/>
    </xf>
    <xf numFmtId="182" fontId="8" fillId="0" borderId="97" xfId="0" applyNumberFormat="1" applyFont="1" applyBorder="1">
      <alignment vertical="center"/>
    </xf>
    <xf numFmtId="182" fontId="8" fillId="0" borderId="29" xfId="0" applyNumberFormat="1" applyFont="1" applyBorder="1">
      <alignment vertical="center"/>
    </xf>
    <xf numFmtId="182" fontId="8" fillId="0" borderId="44" xfId="0" applyNumberFormat="1" applyFont="1" applyBorder="1">
      <alignment vertical="center"/>
    </xf>
    <xf numFmtId="2" fontId="8" fillId="0" borderId="16" xfId="0" applyNumberFormat="1" applyFont="1" applyBorder="1">
      <alignment vertical="center"/>
    </xf>
    <xf numFmtId="2" fontId="8" fillId="0" borderId="14" xfId="0" applyNumberFormat="1" applyFont="1" applyBorder="1" applyAlignment="1">
      <alignment vertical="center" shrinkToFit="1"/>
    </xf>
    <xf numFmtId="2" fontId="8" fillId="0" borderId="17" xfId="0" applyNumberFormat="1" applyFont="1" applyBorder="1">
      <alignment vertical="center"/>
    </xf>
    <xf numFmtId="182" fontId="8" fillId="0" borderId="98" xfId="0" applyNumberFormat="1" applyFont="1" applyBorder="1">
      <alignment vertical="center"/>
    </xf>
    <xf numFmtId="182" fontId="8" fillId="0" borderId="14" xfId="0" applyNumberFormat="1" applyFont="1" applyBorder="1">
      <alignment vertical="center"/>
    </xf>
    <xf numFmtId="182" fontId="8" fillId="0" borderId="17" xfId="0" applyNumberFormat="1" applyFont="1" applyBorder="1">
      <alignment vertical="center"/>
    </xf>
    <xf numFmtId="2" fontId="8" fillId="0" borderId="99" xfId="0" applyNumberFormat="1" applyFont="1" applyBorder="1">
      <alignment vertical="center"/>
    </xf>
    <xf numFmtId="2" fontId="8" fillId="0" borderId="77" xfId="0" applyNumberFormat="1" applyFont="1" applyBorder="1" applyAlignment="1">
      <alignment vertical="center" shrinkToFit="1"/>
    </xf>
    <xf numFmtId="2" fontId="8" fillId="0" borderId="100" xfId="0" applyNumberFormat="1" applyFont="1" applyBorder="1">
      <alignment vertical="center"/>
    </xf>
    <xf numFmtId="182" fontId="8" fillId="0" borderId="101" xfId="0" applyNumberFormat="1" applyFont="1" applyBorder="1">
      <alignment vertical="center"/>
    </xf>
    <xf numFmtId="182" fontId="8" fillId="0" borderId="77" xfId="0" applyNumberFormat="1" applyFont="1" applyBorder="1">
      <alignment vertical="center"/>
    </xf>
    <xf numFmtId="182" fontId="8" fillId="0" borderId="100" xfId="0" applyNumberFormat="1" applyFont="1" applyBorder="1">
      <alignment vertical="center"/>
    </xf>
    <xf numFmtId="2" fontId="8" fillId="0" borderId="16" xfId="0" applyNumberFormat="1" applyFont="1" applyBorder="1" applyAlignment="1">
      <alignment vertical="center" shrinkToFit="1"/>
    </xf>
    <xf numFmtId="2" fontId="8" fillId="0" borderId="14" xfId="0" applyNumberFormat="1" applyFont="1" applyBorder="1">
      <alignment vertical="center"/>
    </xf>
    <xf numFmtId="0" fontId="9" fillId="0" borderId="0" xfId="0" applyFont="1" applyAlignment="1"/>
    <xf numFmtId="186" fontId="6" fillId="0" borderId="16" xfId="0" applyNumberFormat="1" applyFont="1" applyBorder="1" applyAlignment="1"/>
    <xf numFmtId="186" fontId="6" fillId="0" borderId="14" xfId="0" applyNumberFormat="1" applyFont="1" applyBorder="1" applyAlignment="1"/>
    <xf numFmtId="186" fontId="6" fillId="0" borderId="17" xfId="0" applyNumberFormat="1" applyFont="1" applyBorder="1" applyAlignment="1"/>
    <xf numFmtId="186" fontId="6" fillId="0" borderId="22" xfId="0" applyNumberFormat="1" applyFont="1" applyBorder="1" applyAlignment="1"/>
    <xf numFmtId="186" fontId="6" fillId="0" borderId="33" xfId="0" applyNumberFormat="1" applyFont="1" applyBorder="1" applyAlignment="1"/>
    <xf numFmtId="186" fontId="6" fillId="0" borderId="21" xfId="0" applyNumberFormat="1" applyFont="1" applyBorder="1" applyAlignment="1"/>
    <xf numFmtId="182" fontId="0" fillId="0" borderId="14" xfId="0" applyNumberFormat="1" applyBorder="1">
      <alignment vertical="center"/>
    </xf>
    <xf numFmtId="0" fontId="0" fillId="26" borderId="14" xfId="0" applyFill="1" applyBorder="1" applyAlignment="1"/>
    <xf numFmtId="0" fontId="0" fillId="26" borderId="33" xfId="0" applyFill="1" applyBorder="1" applyAlignment="1"/>
    <xf numFmtId="0" fontId="0" fillId="0" borderId="103" xfId="0" applyBorder="1" applyAlignment="1"/>
    <xf numFmtId="20" fontId="0" fillId="0" borderId="61" xfId="0" applyNumberFormat="1" applyBorder="1" applyAlignment="1"/>
    <xf numFmtId="20" fontId="0" fillId="0" borderId="104" xfId="0" applyNumberFormat="1" applyBorder="1" applyAlignment="1"/>
    <xf numFmtId="0" fontId="0" fillId="0" borderId="14" xfId="0" applyBorder="1" applyAlignment="1"/>
    <xf numFmtId="20" fontId="0" fillId="0" borderId="14" xfId="0" applyNumberFormat="1" applyBorder="1">
      <alignment vertical="center"/>
    </xf>
    <xf numFmtId="14" fontId="50" fillId="25" borderId="98" xfId="0" applyNumberFormat="1" applyFont="1" applyFill="1" applyBorder="1" applyAlignment="1">
      <alignment horizontal="left" vertical="center"/>
    </xf>
    <xf numFmtId="0" fontId="53" fillId="25" borderId="0" xfId="0" applyFont="1" applyFill="1" applyAlignment="1"/>
    <xf numFmtId="55" fontId="53" fillId="25" borderId="0" xfId="0" applyNumberFormat="1" applyFont="1" applyFill="1" applyAlignment="1"/>
    <xf numFmtId="49" fontId="54" fillId="25" borderId="0" xfId="0" applyNumberFormat="1" applyFont="1" applyFill="1" applyAlignment="1">
      <alignment horizontal="center" vertical="top"/>
    </xf>
    <xf numFmtId="49" fontId="54" fillId="25" borderId="0" xfId="0" applyNumberFormat="1" applyFont="1" applyFill="1" applyAlignment="1">
      <alignment vertical="top"/>
    </xf>
    <xf numFmtId="55" fontId="55" fillId="25" borderId="0" xfId="0" applyNumberFormat="1" applyFont="1" applyFill="1" applyAlignment="1">
      <alignment horizontal="center" vertical="top"/>
    </xf>
    <xf numFmtId="0" fontId="56" fillId="25" borderId="0" xfId="0" applyFont="1" applyFill="1" applyAlignment="1"/>
    <xf numFmtId="0" fontId="57" fillId="28" borderId="15" xfId="0" applyFont="1" applyFill="1" applyBorder="1" applyAlignment="1">
      <alignment horizontal="center" vertical="center"/>
    </xf>
    <xf numFmtId="0" fontId="57" fillId="25" borderId="32" xfId="0" applyFont="1" applyFill="1" applyBorder="1" applyAlignment="1">
      <alignment horizontal="center" vertical="center"/>
    </xf>
    <xf numFmtId="0" fontId="58" fillId="28" borderId="32" xfId="0" applyFont="1" applyFill="1" applyBorder="1" applyAlignment="1">
      <alignment horizontal="center" vertical="center"/>
    </xf>
    <xf numFmtId="56" fontId="57" fillId="25" borderId="32" xfId="0" applyNumberFormat="1" applyFont="1" applyFill="1" applyBorder="1" applyAlignment="1">
      <alignment horizontal="right" vertical="center"/>
    </xf>
    <xf numFmtId="180" fontId="57" fillId="25" borderId="41" xfId="0" applyNumberFormat="1" applyFont="1" applyFill="1" applyBorder="1" applyAlignment="1">
      <alignment horizontal="center" vertical="center"/>
    </xf>
    <xf numFmtId="0" fontId="59" fillId="25" borderId="0" xfId="0" applyFont="1" applyFill="1">
      <alignment vertical="center"/>
    </xf>
    <xf numFmtId="0" fontId="54" fillId="25" borderId="0" xfId="0" applyFont="1" applyFill="1" applyAlignment="1">
      <alignment horizontal="center"/>
    </xf>
    <xf numFmtId="0" fontId="60" fillId="28" borderId="22" xfId="0" applyFont="1" applyFill="1" applyBorder="1" applyAlignment="1">
      <alignment horizontal="center" vertical="center"/>
    </xf>
    <xf numFmtId="182" fontId="60" fillId="25" borderId="33" xfId="0" applyNumberFormat="1" applyFont="1" applyFill="1" applyBorder="1" applyAlignment="1">
      <alignment horizontal="center" vertical="center"/>
    </xf>
    <xf numFmtId="0" fontId="60" fillId="28" borderId="33" xfId="0" applyFont="1" applyFill="1" applyBorder="1" applyAlignment="1">
      <alignment horizontal="center" vertical="center"/>
    </xf>
    <xf numFmtId="0" fontId="57" fillId="25" borderId="34" xfId="0" applyFont="1" applyFill="1" applyBorder="1" applyAlignment="1">
      <alignment horizontal="right" vertical="center"/>
    </xf>
    <xf numFmtId="0" fontId="57" fillId="25" borderId="35" xfId="0" applyFont="1" applyFill="1" applyBorder="1" applyAlignment="1">
      <alignment horizontal="left" vertical="center"/>
    </xf>
    <xf numFmtId="0" fontId="60" fillId="25" borderId="30" xfId="0" applyFont="1" applyFill="1" applyBorder="1" applyAlignment="1">
      <alignment horizontal="left"/>
    </xf>
    <xf numFmtId="0" fontId="60" fillId="25" borderId="31" xfId="0" applyFont="1" applyFill="1" applyBorder="1" applyAlignment="1">
      <alignment horizontal="center"/>
    </xf>
    <xf numFmtId="0" fontId="58" fillId="25" borderId="31" xfId="0" applyFont="1" applyFill="1" applyBorder="1" applyAlignment="1">
      <alignment horizontal="left"/>
    </xf>
    <xf numFmtId="0" fontId="63" fillId="25" borderId="23" xfId="0" applyFont="1" applyFill="1" applyBorder="1" applyAlignment="1"/>
    <xf numFmtId="0" fontId="63" fillId="25" borderId="24" xfId="0" applyFont="1" applyFill="1" applyBorder="1" applyAlignment="1">
      <alignment horizontal="center"/>
    </xf>
    <xf numFmtId="0" fontId="63" fillId="25" borderId="24" xfId="0" applyFont="1" applyFill="1" applyBorder="1" applyAlignment="1"/>
    <xf numFmtId="0" fontId="63" fillId="25" borderId="24" xfId="0" applyFont="1" applyFill="1" applyBorder="1" applyAlignment="1">
      <alignment horizontal="right"/>
    </xf>
    <xf numFmtId="0" fontId="63" fillId="25" borderId="29" xfId="0" applyFont="1" applyFill="1" applyBorder="1" applyAlignment="1">
      <alignment horizontal="center"/>
    </xf>
    <xf numFmtId="0" fontId="64" fillId="25" borderId="92" xfId="0" applyFont="1" applyFill="1" applyBorder="1" applyAlignment="1"/>
    <xf numFmtId="0" fontId="65" fillId="25" borderId="25" xfId="0" applyFont="1" applyFill="1" applyBorder="1" applyAlignment="1"/>
    <xf numFmtId="0" fontId="65" fillId="25" borderId="36" xfId="0" quotePrefix="1" applyFont="1" applyFill="1" applyBorder="1" applyAlignment="1">
      <alignment horizontal="center"/>
    </xf>
    <xf numFmtId="176" fontId="65" fillId="25" borderId="10" xfId="0" applyNumberFormat="1" applyFont="1" applyFill="1" applyBorder="1" applyAlignment="1"/>
    <xf numFmtId="0" fontId="65" fillId="25" borderId="10" xfId="0" applyFont="1" applyFill="1" applyBorder="1" applyAlignment="1">
      <alignment horizontal="left"/>
    </xf>
    <xf numFmtId="0" fontId="65" fillId="25" borderId="10" xfId="0" applyFont="1" applyFill="1" applyBorder="1" applyAlignment="1">
      <alignment horizontal="center"/>
    </xf>
    <xf numFmtId="21" fontId="65" fillId="25" borderId="10" xfId="0" applyNumberFormat="1" applyFont="1" applyFill="1" applyBorder="1" applyAlignment="1">
      <alignment horizontal="center"/>
    </xf>
    <xf numFmtId="178" fontId="65" fillId="25" borderId="10" xfId="0" applyNumberFormat="1" applyFont="1" applyFill="1" applyBorder="1" applyAlignment="1">
      <alignment horizontal="right"/>
    </xf>
    <xf numFmtId="176" fontId="65" fillId="25" borderId="10" xfId="0" applyNumberFormat="1" applyFont="1" applyFill="1" applyBorder="1" applyAlignment="1">
      <alignment horizontal="right"/>
    </xf>
    <xf numFmtId="179" fontId="65" fillId="25" borderId="10" xfId="0" applyNumberFormat="1" applyFont="1" applyFill="1" applyBorder="1" applyAlignment="1"/>
    <xf numFmtId="177" fontId="65" fillId="25" borderId="10" xfId="0" applyNumberFormat="1" applyFont="1" applyFill="1" applyBorder="1" applyAlignment="1"/>
    <xf numFmtId="181" fontId="65" fillId="25" borderId="10" xfId="0" applyNumberFormat="1" applyFont="1" applyFill="1" applyBorder="1" applyAlignment="1">
      <alignment horizontal="right" vertical="top"/>
    </xf>
    <xf numFmtId="21" fontId="65" fillId="25" borderId="58" xfId="0" applyNumberFormat="1" applyFont="1" applyFill="1" applyBorder="1" applyAlignment="1">
      <alignment horizontal="center"/>
    </xf>
    <xf numFmtId="0" fontId="65" fillId="25" borderId="26" xfId="0" applyFont="1" applyFill="1" applyBorder="1" applyAlignment="1"/>
    <xf numFmtId="0" fontId="65" fillId="25" borderId="37" xfId="0" quotePrefix="1" applyFont="1" applyFill="1" applyBorder="1" applyAlignment="1">
      <alignment horizontal="center"/>
    </xf>
    <xf numFmtId="176" fontId="65" fillId="25" borderId="11" xfId="0" applyNumberFormat="1" applyFont="1" applyFill="1" applyBorder="1" applyAlignment="1"/>
    <xf numFmtId="0" fontId="65" fillId="25" borderId="11" xfId="0" applyFont="1" applyFill="1" applyBorder="1" applyAlignment="1">
      <alignment horizontal="left"/>
    </xf>
    <xf numFmtId="0" fontId="65" fillId="25" borderId="11" xfId="0" applyFont="1" applyFill="1" applyBorder="1" applyAlignment="1">
      <alignment horizontal="center"/>
    </xf>
    <xf numFmtId="21" fontId="65" fillId="25" borderId="11" xfId="0" applyNumberFormat="1" applyFont="1" applyFill="1" applyBorder="1" applyAlignment="1">
      <alignment horizontal="center"/>
    </xf>
    <xf numFmtId="178" fontId="65" fillId="25" borderId="11" xfId="0" applyNumberFormat="1" applyFont="1" applyFill="1" applyBorder="1" applyAlignment="1">
      <alignment horizontal="right"/>
    </xf>
    <xf numFmtId="176" fontId="65" fillId="25" borderId="11" xfId="0" applyNumberFormat="1" applyFont="1" applyFill="1" applyBorder="1" applyAlignment="1">
      <alignment horizontal="right"/>
    </xf>
    <xf numFmtId="179" fontId="65" fillId="25" borderId="11" xfId="0" applyNumberFormat="1" applyFont="1" applyFill="1" applyBorder="1" applyAlignment="1"/>
    <xf numFmtId="177" fontId="65" fillId="25" borderId="11" xfId="0" applyNumberFormat="1" applyFont="1" applyFill="1" applyBorder="1" applyAlignment="1"/>
    <xf numFmtId="181" fontId="65" fillId="25" borderId="11" xfId="0" applyNumberFormat="1" applyFont="1" applyFill="1" applyBorder="1" applyAlignment="1">
      <alignment horizontal="right" vertical="top"/>
    </xf>
    <xf numFmtId="21" fontId="65" fillId="25" borderId="67" xfId="0" applyNumberFormat="1" applyFont="1" applyFill="1" applyBorder="1" applyAlignment="1">
      <alignment horizontal="center"/>
    </xf>
    <xf numFmtId="0" fontId="65" fillId="25" borderId="27" xfId="0" applyFont="1" applyFill="1" applyBorder="1" applyAlignment="1"/>
    <xf numFmtId="0" fontId="65" fillId="25" borderId="38" xfId="0" quotePrefix="1" applyFont="1" applyFill="1" applyBorder="1" applyAlignment="1">
      <alignment horizontal="center"/>
    </xf>
    <xf numFmtId="176" fontId="65" fillId="25" borderId="12" xfId="0" applyNumberFormat="1" applyFont="1" applyFill="1" applyBorder="1" applyAlignment="1"/>
    <xf numFmtId="0" fontId="65" fillId="25" borderId="12" xfId="0" applyFont="1" applyFill="1" applyBorder="1" applyAlignment="1">
      <alignment horizontal="left"/>
    </xf>
    <xf numFmtId="0" fontId="65" fillId="25" borderId="12" xfId="0" applyFont="1" applyFill="1" applyBorder="1" applyAlignment="1">
      <alignment horizontal="center"/>
    </xf>
    <xf numFmtId="21" fontId="65" fillId="25" borderId="12" xfId="0" applyNumberFormat="1" applyFont="1" applyFill="1" applyBorder="1" applyAlignment="1">
      <alignment horizontal="center"/>
    </xf>
    <xf numFmtId="176" fontId="65" fillId="25" borderId="49" xfId="0" applyNumberFormat="1" applyFont="1" applyFill="1" applyBorder="1" applyAlignment="1"/>
    <xf numFmtId="178" fontId="65" fillId="25" borderId="49" xfId="0" applyNumberFormat="1" applyFont="1" applyFill="1" applyBorder="1" applyAlignment="1">
      <alignment horizontal="right"/>
    </xf>
    <xf numFmtId="0" fontId="65" fillId="25" borderId="49" xfId="0" applyFont="1" applyFill="1" applyBorder="1" applyAlignment="1">
      <alignment horizontal="center"/>
    </xf>
    <xf numFmtId="176" fontId="65" fillId="25" borderId="49" xfId="0" applyNumberFormat="1" applyFont="1" applyFill="1" applyBorder="1" applyAlignment="1">
      <alignment horizontal="right"/>
    </xf>
    <xf numFmtId="21" fontId="65" fillId="25" borderId="49" xfId="0" applyNumberFormat="1" applyFont="1" applyFill="1" applyBorder="1" applyAlignment="1">
      <alignment horizontal="center"/>
    </xf>
    <xf numFmtId="179" fontId="65" fillId="25" borderId="49" xfId="0" applyNumberFormat="1" applyFont="1" applyFill="1" applyBorder="1" applyAlignment="1"/>
    <xf numFmtId="177" fontId="65" fillId="25" borderId="49" xfId="0" applyNumberFormat="1" applyFont="1" applyFill="1" applyBorder="1" applyAlignment="1"/>
    <xf numFmtId="181" fontId="65" fillId="25" borderId="49" xfId="0" applyNumberFormat="1" applyFont="1" applyFill="1" applyBorder="1" applyAlignment="1">
      <alignment horizontal="right" vertical="top"/>
    </xf>
    <xf numFmtId="21" fontId="65" fillId="25" borderId="74" xfId="0" applyNumberFormat="1" applyFont="1" applyFill="1" applyBorder="1" applyAlignment="1">
      <alignment horizontal="center"/>
    </xf>
    <xf numFmtId="0" fontId="65" fillId="25" borderId="28" xfId="0" applyFont="1" applyFill="1" applyBorder="1" applyAlignment="1"/>
    <xf numFmtId="176" fontId="65" fillId="25" borderId="11" xfId="0" applyNumberFormat="1" applyFont="1" applyFill="1" applyBorder="1" applyAlignment="1">
      <alignment horizontal="right" vertical="center"/>
    </xf>
    <xf numFmtId="178" fontId="65" fillId="25" borderId="12" xfId="0" applyNumberFormat="1" applyFont="1" applyFill="1" applyBorder="1" applyAlignment="1">
      <alignment horizontal="right"/>
    </xf>
    <xf numFmtId="176" fontId="65" fillId="25" borderId="12" xfId="0" applyNumberFormat="1" applyFont="1" applyFill="1" applyBorder="1" applyAlignment="1">
      <alignment horizontal="center"/>
    </xf>
    <xf numFmtId="176" fontId="65" fillId="25" borderId="12" xfId="0" applyNumberFormat="1" applyFont="1" applyFill="1" applyBorder="1" applyAlignment="1">
      <alignment horizontal="right"/>
    </xf>
    <xf numFmtId="179" fontId="65" fillId="25" borderId="12" xfId="0" applyNumberFormat="1" applyFont="1" applyFill="1" applyBorder="1" applyAlignment="1"/>
    <xf numFmtId="177" fontId="65" fillId="25" borderId="12" xfId="0" applyNumberFormat="1" applyFont="1" applyFill="1" applyBorder="1" applyAlignment="1"/>
    <xf numFmtId="181" fontId="65" fillId="25" borderId="12" xfId="0" applyNumberFormat="1" applyFont="1" applyFill="1" applyBorder="1" applyAlignment="1">
      <alignment horizontal="right" vertical="top"/>
    </xf>
    <xf numFmtId="176" fontId="65" fillId="25" borderId="13" xfId="0" applyNumberFormat="1" applyFont="1" applyFill="1" applyBorder="1" applyAlignment="1"/>
    <xf numFmtId="178" fontId="65" fillId="25" borderId="13" xfId="0" applyNumberFormat="1" applyFont="1" applyFill="1" applyBorder="1" applyAlignment="1">
      <alignment horizontal="right"/>
    </xf>
    <xf numFmtId="0" fontId="65" fillId="25" borderId="13" xfId="0" applyFont="1" applyFill="1" applyBorder="1" applyAlignment="1">
      <alignment horizontal="center"/>
    </xf>
    <xf numFmtId="176" fontId="65" fillId="25" borderId="13" xfId="0" applyNumberFormat="1" applyFont="1" applyFill="1" applyBorder="1" applyAlignment="1">
      <alignment horizontal="right"/>
    </xf>
    <xf numFmtId="21" fontId="65" fillId="25" borderId="13" xfId="0" applyNumberFormat="1" applyFont="1" applyFill="1" applyBorder="1" applyAlignment="1">
      <alignment horizontal="center"/>
    </xf>
    <xf numFmtId="179" fontId="65" fillId="25" borderId="13" xfId="0" applyNumberFormat="1" applyFont="1" applyFill="1" applyBorder="1" applyAlignment="1"/>
    <xf numFmtId="177" fontId="65" fillId="25" borderId="13" xfId="0" applyNumberFormat="1" applyFont="1" applyFill="1" applyBorder="1" applyAlignment="1"/>
    <xf numFmtId="181" fontId="65" fillId="25" borderId="13" xfId="0" applyNumberFormat="1" applyFont="1" applyFill="1" applyBorder="1" applyAlignment="1">
      <alignment horizontal="right" vertical="top"/>
    </xf>
    <xf numFmtId="0" fontId="65" fillId="25" borderId="39" xfId="0" quotePrefix="1" applyFont="1" applyFill="1" applyBorder="1" applyAlignment="1">
      <alignment horizontal="center"/>
    </xf>
    <xf numFmtId="0" fontId="65" fillId="25" borderId="40" xfId="0" applyFont="1" applyFill="1" applyBorder="1" applyAlignment="1"/>
    <xf numFmtId="21" fontId="65" fillId="25" borderId="67" xfId="0" applyNumberFormat="1" applyFont="1" applyFill="1" applyBorder="1" applyAlignment="1">
      <alignment horizontal="left"/>
    </xf>
    <xf numFmtId="180" fontId="65" fillId="25" borderId="69" xfId="0" applyNumberFormat="1" applyFont="1" applyFill="1" applyBorder="1" applyAlignment="1">
      <alignment horizontal="left"/>
    </xf>
    <xf numFmtId="180" fontId="65" fillId="25" borderId="47" xfId="0" applyNumberFormat="1" applyFont="1" applyFill="1" applyBorder="1" applyAlignment="1">
      <alignment horizontal="center"/>
    </xf>
    <xf numFmtId="0" fontId="65" fillId="25" borderId="13" xfId="0" applyFont="1" applyFill="1" applyBorder="1" applyAlignment="1">
      <alignment horizontal="left"/>
    </xf>
    <xf numFmtId="180" fontId="63" fillId="25" borderId="66" xfId="0" applyNumberFormat="1" applyFont="1" applyFill="1" applyBorder="1">
      <alignment vertical="center"/>
    </xf>
    <xf numFmtId="180" fontId="63" fillId="25" borderId="69" xfId="0" applyNumberFormat="1" applyFont="1" applyFill="1" applyBorder="1">
      <alignment vertical="center"/>
    </xf>
    <xf numFmtId="0" fontId="53" fillId="25" borderId="94" xfId="0" applyFont="1" applyFill="1" applyBorder="1" applyAlignment="1">
      <alignment vertical="top" wrapText="1"/>
    </xf>
    <xf numFmtId="0" fontId="53" fillId="25" borderId="92" xfId="0" applyFont="1" applyFill="1" applyBorder="1" applyAlignment="1">
      <alignment vertical="top" wrapText="1"/>
    </xf>
    <xf numFmtId="0" fontId="53" fillId="25" borderId="84" xfId="0" applyFont="1" applyFill="1" applyBorder="1" applyAlignment="1">
      <alignment vertical="top" wrapText="1"/>
    </xf>
    <xf numFmtId="0" fontId="68" fillId="25" borderId="0" xfId="0" applyFont="1" applyFill="1">
      <alignment vertical="center"/>
    </xf>
    <xf numFmtId="0" fontId="68" fillId="0" borderId="0" xfId="0" applyFont="1">
      <alignment vertical="center"/>
    </xf>
    <xf numFmtId="0" fontId="65" fillId="25" borderId="0" xfId="0" applyFont="1" applyFill="1" applyAlignment="1"/>
    <xf numFmtId="0" fontId="63" fillId="25" borderId="0" xfId="0" applyFont="1" applyFill="1" applyAlignment="1"/>
    <xf numFmtId="180" fontId="57" fillId="25" borderId="0" xfId="0" applyNumberFormat="1" applyFont="1" applyFill="1" applyAlignment="1">
      <alignment horizontal="center" vertical="center"/>
    </xf>
    <xf numFmtId="0" fontId="57" fillId="25" borderId="0" xfId="0" applyFont="1" applyFill="1" applyAlignment="1">
      <alignment horizontal="left" vertical="center"/>
    </xf>
    <xf numFmtId="0" fontId="60" fillId="25" borderId="0" xfId="0" applyFont="1" applyFill="1" applyAlignment="1">
      <alignment horizontal="center"/>
    </xf>
    <xf numFmtId="0" fontId="65" fillId="25" borderId="0" xfId="0" applyFont="1" applyFill="1" applyAlignment="1">
      <alignment horizontal="left" vertical="top" wrapText="1"/>
    </xf>
    <xf numFmtId="0" fontId="59" fillId="0" borderId="0" xfId="0" applyFont="1">
      <alignment vertical="center"/>
    </xf>
    <xf numFmtId="0" fontId="53" fillId="0" borderId="0" xfId="0" applyFont="1" applyAlignment="1"/>
    <xf numFmtId="0" fontId="57" fillId="0" borderId="0" xfId="0" applyFont="1" applyAlignment="1"/>
    <xf numFmtId="0" fontId="70" fillId="0" borderId="0" xfId="0" applyFont="1">
      <alignment vertical="center"/>
    </xf>
    <xf numFmtId="0" fontId="71" fillId="0" borderId="0" xfId="0" applyFont="1" applyAlignment="1"/>
    <xf numFmtId="0" fontId="60" fillId="0" borderId="31" xfId="0" applyFont="1" applyBorder="1" applyAlignment="1">
      <alignment horizontal="center"/>
    </xf>
    <xf numFmtId="0" fontId="65" fillId="0" borderId="0" xfId="0" applyFont="1" applyAlignment="1"/>
    <xf numFmtId="0" fontId="60" fillId="0" borderId="30" xfId="0" applyFont="1" applyBorder="1" applyAlignment="1">
      <alignment horizontal="center"/>
    </xf>
    <xf numFmtId="0" fontId="60" fillId="0" borderId="42" xfId="0" applyFont="1" applyBorder="1" applyAlignment="1">
      <alignment horizontal="center"/>
    </xf>
    <xf numFmtId="0" fontId="63" fillId="0" borderId="29" xfId="0" applyFont="1" applyBorder="1" applyAlignment="1">
      <alignment horizontal="center"/>
    </xf>
    <xf numFmtId="0" fontId="63" fillId="0" borderId="0" xfId="0" applyFont="1" applyAlignment="1"/>
    <xf numFmtId="0" fontId="63" fillId="0" borderId="43" xfId="0" applyFont="1" applyBorder="1" applyAlignment="1">
      <alignment horizontal="center"/>
    </xf>
    <xf numFmtId="0" fontId="63" fillId="0" borderId="44" xfId="0" applyFont="1" applyBorder="1" applyAlignment="1">
      <alignment horizontal="center"/>
    </xf>
    <xf numFmtId="181" fontId="65" fillId="0" borderId="10" xfId="0" applyNumberFormat="1" applyFont="1" applyBorder="1" applyAlignment="1">
      <alignment horizontal="right" vertical="top"/>
    </xf>
    <xf numFmtId="186" fontId="65" fillId="0" borderId="16" xfId="0" applyNumberFormat="1" applyFont="1" applyBorder="1" applyAlignment="1"/>
    <xf numFmtId="186" fontId="65" fillId="0" borderId="14" xfId="0" applyNumberFormat="1" applyFont="1" applyBorder="1" applyAlignment="1"/>
    <xf numFmtId="186" fontId="65" fillId="0" borderId="17" xfId="0" applyNumberFormat="1" applyFont="1" applyBorder="1" applyAlignment="1"/>
    <xf numFmtId="178" fontId="65" fillId="0" borderId="36" xfId="0" applyNumberFormat="1" applyFont="1" applyBorder="1" applyAlignment="1"/>
    <xf numFmtId="178" fontId="65" fillId="0" borderId="10" xfId="0" applyNumberFormat="1" applyFont="1" applyBorder="1" applyAlignment="1"/>
    <xf numFmtId="178" fontId="65" fillId="0" borderId="45" xfId="0" applyNumberFormat="1" applyFont="1" applyBorder="1" applyAlignment="1"/>
    <xf numFmtId="181" fontId="65" fillId="0" borderId="36" xfId="0" applyNumberFormat="1" applyFont="1" applyBorder="1" applyAlignment="1">
      <alignment horizontal="right" vertical="top"/>
    </xf>
    <xf numFmtId="181" fontId="65" fillId="0" borderId="45" xfId="0" applyNumberFormat="1" applyFont="1" applyBorder="1" applyAlignment="1">
      <alignment horizontal="right"/>
    </xf>
    <xf numFmtId="186" fontId="65" fillId="0" borderId="22" xfId="0" applyNumberFormat="1" applyFont="1" applyBorder="1" applyAlignment="1"/>
    <xf numFmtId="186" fontId="65" fillId="0" borderId="33" xfId="0" applyNumberFormat="1" applyFont="1" applyBorder="1" applyAlignment="1"/>
    <xf numFmtId="186" fontId="65" fillId="0" borderId="21" xfId="0" applyNumberFormat="1" applyFont="1" applyBorder="1" applyAlignment="1"/>
    <xf numFmtId="178" fontId="65" fillId="0" borderId="22" xfId="0" applyNumberFormat="1" applyFont="1" applyBorder="1" applyAlignment="1"/>
    <xf numFmtId="178" fontId="65" fillId="0" borderId="33" xfId="0" applyNumberFormat="1" applyFont="1" applyBorder="1" applyAlignment="1"/>
    <xf numFmtId="178" fontId="65" fillId="0" borderId="21" xfId="0" applyNumberFormat="1" applyFont="1" applyBorder="1" applyAlignment="1"/>
    <xf numFmtId="0" fontId="69" fillId="25" borderId="0" xfId="0" applyFont="1" applyFill="1" applyAlignment="1">
      <alignment horizontal="left" vertical="center"/>
    </xf>
    <xf numFmtId="21" fontId="63" fillId="25" borderId="67" xfId="0" applyNumberFormat="1" applyFont="1" applyFill="1" applyBorder="1" applyAlignment="1">
      <alignment horizontal="left" vertical="top"/>
    </xf>
    <xf numFmtId="176" fontId="65" fillId="25" borderId="11" xfId="0" applyNumberFormat="1" applyFont="1" applyFill="1" applyBorder="1" applyAlignment="1">
      <alignment horizontal="center"/>
    </xf>
    <xf numFmtId="21" fontId="65" fillId="25" borderId="74" xfId="0" applyNumberFormat="1" applyFont="1" applyFill="1" applyBorder="1" applyAlignment="1">
      <alignment horizontal="left"/>
    </xf>
    <xf numFmtId="180" fontId="65" fillId="25" borderId="66" xfId="0" applyNumberFormat="1" applyFont="1" applyFill="1" applyBorder="1" applyAlignment="1">
      <alignment horizontal="center"/>
    </xf>
    <xf numFmtId="180" fontId="65" fillId="25" borderId="69" xfId="0" applyNumberFormat="1" applyFont="1" applyFill="1" applyBorder="1" applyAlignment="1">
      <alignment horizontal="center"/>
    </xf>
    <xf numFmtId="180" fontId="66" fillId="25" borderId="69" xfId="0" applyNumberFormat="1" applyFont="1" applyFill="1" applyBorder="1" applyAlignment="1">
      <alignment horizontal="left"/>
    </xf>
    <xf numFmtId="0" fontId="72" fillId="25" borderId="0" xfId="0" applyFont="1" applyFill="1" applyAlignment="1">
      <alignment horizontal="left" vertical="top" wrapText="1"/>
    </xf>
    <xf numFmtId="181" fontId="65" fillId="0" borderId="22" xfId="0" applyNumberFormat="1" applyFont="1" applyBorder="1" applyAlignment="1">
      <alignment horizontal="right" vertical="top"/>
    </xf>
    <xf numFmtId="181" fontId="65" fillId="0" borderId="33" xfId="0" applyNumberFormat="1" applyFont="1" applyBorder="1" applyAlignment="1">
      <alignment horizontal="right" vertical="top"/>
    </xf>
    <xf numFmtId="181" fontId="65" fillId="0" borderId="21" xfId="0" applyNumberFormat="1" applyFont="1" applyBorder="1" applyAlignment="1">
      <alignment horizontal="right"/>
    </xf>
    <xf numFmtId="21" fontId="65" fillId="25" borderId="63" xfId="0" applyNumberFormat="1" applyFont="1" applyFill="1" applyBorder="1" applyAlignment="1">
      <alignment horizontal="center"/>
    </xf>
    <xf numFmtId="0" fontId="64" fillId="25" borderId="92" xfId="0" applyFont="1" applyFill="1" applyBorder="1" applyAlignment="1">
      <alignment horizontal="center" vertical="center"/>
    </xf>
    <xf numFmtId="20" fontId="65" fillId="25" borderId="67" xfId="0" applyNumberFormat="1" applyFont="1" applyFill="1" applyBorder="1" applyAlignment="1">
      <alignment horizontal="center"/>
    </xf>
    <xf numFmtId="20" fontId="65" fillId="25" borderId="74" xfId="0" applyNumberFormat="1" applyFont="1" applyFill="1" applyBorder="1" applyAlignment="1">
      <alignment horizontal="center"/>
    </xf>
    <xf numFmtId="21" fontId="63" fillId="25" borderId="63" xfId="0" applyNumberFormat="1" applyFont="1" applyFill="1" applyBorder="1" applyAlignment="1">
      <alignment horizontal="left"/>
    </xf>
    <xf numFmtId="21" fontId="65" fillId="25" borderId="63" xfId="0" applyNumberFormat="1" applyFont="1" applyFill="1" applyBorder="1" applyAlignment="1">
      <alignment horizontal="left"/>
    </xf>
    <xf numFmtId="176" fontId="65" fillId="25" borderId="12" xfId="0" applyNumberFormat="1" applyFont="1" applyFill="1" applyBorder="1" applyAlignment="1">
      <alignment horizontal="right" vertical="center"/>
    </xf>
    <xf numFmtId="2" fontId="65" fillId="25" borderId="10" xfId="0" applyNumberFormat="1" applyFont="1" applyFill="1" applyBorder="1" applyAlignment="1">
      <alignment horizontal="center"/>
    </xf>
    <xf numFmtId="2" fontId="65" fillId="25" borderId="11" xfId="0" applyNumberFormat="1" applyFont="1" applyFill="1" applyBorder="1" applyAlignment="1">
      <alignment horizontal="center"/>
    </xf>
    <xf numFmtId="2" fontId="65" fillId="25" borderId="12" xfId="0" applyNumberFormat="1" applyFont="1" applyFill="1" applyBorder="1" applyAlignment="1">
      <alignment horizontal="center"/>
    </xf>
    <xf numFmtId="176" fontId="65" fillId="25" borderId="13" xfId="0" applyNumberFormat="1" applyFont="1" applyFill="1" applyBorder="1" applyAlignment="1">
      <alignment horizontal="right" vertical="center"/>
    </xf>
    <xf numFmtId="180" fontId="65" fillId="25" borderId="66" xfId="0" applyNumberFormat="1" applyFont="1" applyFill="1" applyBorder="1" applyAlignment="1">
      <alignment horizontal="left" vertical="center"/>
    </xf>
    <xf numFmtId="21" fontId="65" fillId="25" borderId="58" xfId="0" applyNumberFormat="1" applyFont="1" applyFill="1" applyBorder="1" applyAlignment="1">
      <alignment horizontal="left"/>
    </xf>
    <xf numFmtId="0" fontId="61" fillId="25" borderId="32" xfId="0" applyFont="1" applyFill="1" applyBorder="1" applyAlignment="1">
      <alignment horizontal="center" vertical="center"/>
    </xf>
    <xf numFmtId="176" fontId="65" fillId="0" borderId="10" xfId="0" applyNumberFormat="1" applyFont="1" applyBorder="1" applyAlignment="1"/>
    <xf numFmtId="0" fontId="65" fillId="0" borderId="10" xfId="0" applyFont="1" applyBorder="1" applyAlignment="1">
      <alignment horizontal="left"/>
    </xf>
    <xf numFmtId="176" fontId="65" fillId="0" borderId="11" xfId="0" applyNumberFormat="1" applyFont="1" applyBorder="1" applyAlignment="1"/>
    <xf numFmtId="0" fontId="65" fillId="0" borderId="11" xfId="0" applyFont="1" applyBorder="1" applyAlignment="1">
      <alignment horizontal="left"/>
    </xf>
    <xf numFmtId="176" fontId="65" fillId="0" borderId="12" xfId="0" applyNumberFormat="1" applyFont="1" applyBorder="1" applyAlignment="1"/>
    <xf numFmtId="0" fontId="65" fillId="0" borderId="12" xfId="0" applyFont="1" applyBorder="1" applyAlignment="1">
      <alignment horizontal="left"/>
    </xf>
    <xf numFmtId="176" fontId="65" fillId="0" borderId="13" xfId="0" applyNumberFormat="1" applyFont="1" applyBorder="1" applyAlignment="1"/>
    <xf numFmtId="176" fontId="65" fillId="0" borderId="11" xfId="0" applyNumberFormat="1" applyFont="1" applyBorder="1" applyAlignment="1">
      <alignment horizontal="right" vertical="center"/>
    </xf>
    <xf numFmtId="0" fontId="65" fillId="0" borderId="13" xfId="0" applyFont="1" applyBorder="1" applyAlignment="1">
      <alignment horizontal="left"/>
    </xf>
    <xf numFmtId="56" fontId="60" fillId="25" borderId="32" xfId="0" applyNumberFormat="1" applyFont="1" applyFill="1" applyBorder="1" applyAlignment="1">
      <alignment horizontal="right" vertical="center"/>
    </xf>
    <xf numFmtId="180" fontId="60" fillId="25" borderId="41" xfId="0" applyNumberFormat="1" applyFont="1" applyFill="1" applyBorder="1" applyAlignment="1">
      <alignment horizontal="center" vertical="center"/>
    </xf>
    <xf numFmtId="0" fontId="57" fillId="0" borderId="0" xfId="0" applyFont="1" applyAlignment="1">
      <alignment horizontal="center" vertical="center"/>
    </xf>
    <xf numFmtId="0" fontId="57" fillId="0" borderId="0" xfId="0" applyFont="1">
      <alignment vertical="center"/>
    </xf>
    <xf numFmtId="0" fontId="54" fillId="0" borderId="0" xfId="0" applyFont="1" applyAlignment="1">
      <alignment horizontal="center" vertical="center"/>
    </xf>
    <xf numFmtId="0" fontId="54" fillId="0" borderId="0" xfId="0" applyFont="1">
      <alignment vertical="center"/>
    </xf>
    <xf numFmtId="0" fontId="73" fillId="0" borderId="0" xfId="0" applyFont="1" applyAlignment="1"/>
    <xf numFmtId="0" fontId="63" fillId="0" borderId="0" xfId="0" applyFont="1" applyAlignment="1">
      <alignment horizontal="right" vertical="center" shrinkToFit="1"/>
    </xf>
    <xf numFmtId="0" fontId="63" fillId="0" borderId="0" xfId="0" applyFont="1" applyAlignment="1">
      <alignment vertical="center" shrinkToFit="1"/>
    </xf>
    <xf numFmtId="0" fontId="60" fillId="0" borderId="0" xfId="0" applyFont="1" applyAlignment="1"/>
    <xf numFmtId="176" fontId="66" fillId="25" borderId="31" xfId="0" applyNumberFormat="1" applyFont="1" applyFill="1" applyBorder="1" applyAlignment="1">
      <alignment horizontal="center" vertical="center"/>
    </xf>
    <xf numFmtId="176" fontId="66" fillId="25" borderId="90" xfId="0" applyNumberFormat="1" applyFont="1" applyFill="1" applyBorder="1" applyAlignment="1">
      <alignment horizontal="center" vertical="center"/>
    </xf>
    <xf numFmtId="0" fontId="59" fillId="0" borderId="0" xfId="0" applyFont="1" applyAlignment="1"/>
    <xf numFmtId="0" fontId="74" fillId="0" borderId="0" xfId="0" applyFont="1" applyAlignment="1"/>
    <xf numFmtId="0" fontId="66" fillId="25" borderId="90" xfId="0" applyFont="1" applyFill="1" applyBorder="1" applyAlignment="1">
      <alignment horizontal="center" vertical="center"/>
    </xf>
    <xf numFmtId="184" fontId="63" fillId="25" borderId="24" xfId="0" applyNumberFormat="1" applyFont="1" applyFill="1" applyBorder="1" applyAlignment="1">
      <alignment horizontal="center" vertical="center"/>
    </xf>
    <xf numFmtId="184" fontId="63" fillId="25" borderId="25" xfId="0" applyNumberFormat="1" applyFont="1" applyFill="1" applyBorder="1" applyAlignment="1">
      <alignment horizontal="center" vertical="center"/>
    </xf>
    <xf numFmtId="184" fontId="63" fillId="25" borderId="91" xfId="0" applyNumberFormat="1" applyFont="1" applyFill="1" applyBorder="1" applyAlignment="1">
      <alignment horizontal="center" vertical="center"/>
    </xf>
    <xf numFmtId="183" fontId="66" fillId="25" borderId="24" xfId="0" applyNumberFormat="1" applyFont="1" applyFill="1" applyBorder="1" applyAlignment="1">
      <alignment horizontal="center" vertical="center" wrapText="1"/>
    </xf>
    <xf numFmtId="0" fontId="63" fillId="0" borderId="102" xfId="0" applyFont="1" applyBorder="1" applyAlignment="1">
      <alignment horizontal="center" vertical="center" wrapText="1"/>
    </xf>
    <xf numFmtId="0" fontId="63" fillId="0" borderId="0" xfId="0" applyFont="1" applyAlignment="1">
      <alignment horizontal="center" vertical="center" wrapText="1"/>
    </xf>
    <xf numFmtId="0" fontId="63" fillId="0" borderId="77" xfId="0" applyFont="1" applyBorder="1" applyAlignment="1">
      <alignment horizontal="center" vertical="center"/>
    </xf>
    <xf numFmtId="0" fontId="65" fillId="0" borderId="77" xfId="0" applyFont="1" applyBorder="1" applyAlignment="1">
      <alignment horizontal="center" vertical="center" wrapText="1"/>
    </xf>
    <xf numFmtId="0" fontId="63" fillId="0" borderId="14" xfId="0" applyFont="1" applyBorder="1" applyAlignment="1">
      <alignment horizontal="center" vertical="center" shrinkToFit="1"/>
    </xf>
    <xf numFmtId="0" fontId="63" fillId="0" borderId="0" xfId="0" applyFont="1" applyAlignment="1">
      <alignment horizontal="center"/>
    </xf>
    <xf numFmtId="0" fontId="63" fillId="0" borderId="78" xfId="0" applyFont="1" applyBorder="1" applyAlignment="1">
      <alignment horizontal="center" vertical="center" wrapText="1"/>
    </xf>
    <xf numFmtId="176" fontId="63" fillId="0" borderId="36" xfId="0" quotePrefix="1" applyNumberFormat="1" applyFont="1" applyBorder="1" applyAlignment="1">
      <alignment horizontal="center"/>
    </xf>
    <xf numFmtId="179" fontId="65" fillId="0" borderId="10" xfId="0" quotePrefix="1" applyNumberFormat="1" applyFont="1" applyBorder="1" applyAlignment="1">
      <alignment horizontal="right"/>
    </xf>
    <xf numFmtId="179" fontId="65" fillId="0" borderId="10" xfId="0" quotePrefix="1" applyNumberFormat="1" applyFont="1" applyBorder="1" applyAlignment="1"/>
    <xf numFmtId="179" fontId="65" fillId="0" borderId="10" xfId="0" applyNumberFormat="1" applyFont="1" applyBorder="1" applyAlignment="1"/>
    <xf numFmtId="0" fontId="63" fillId="0" borderId="10" xfId="0" applyFont="1" applyBorder="1" applyAlignment="1">
      <alignment horizontal="center"/>
    </xf>
    <xf numFmtId="0" fontId="63" fillId="0" borderId="79" xfId="0" applyFont="1" applyBorder="1" applyAlignment="1">
      <alignment horizontal="center"/>
    </xf>
    <xf numFmtId="179" fontId="65" fillId="0" borderId="0" xfId="0" applyNumberFormat="1" applyFont="1" applyAlignment="1">
      <alignment horizontal="center"/>
    </xf>
    <xf numFmtId="176" fontId="63" fillId="0" borderId="10" xfId="0" quotePrefix="1" applyNumberFormat="1" applyFont="1" applyBorder="1" applyAlignment="1">
      <alignment horizontal="center"/>
    </xf>
    <xf numFmtId="182" fontId="65" fillId="0" borderId="11" xfId="0" applyNumberFormat="1" applyFont="1" applyBorder="1" applyAlignment="1">
      <alignment horizontal="right" shrinkToFit="1"/>
    </xf>
    <xf numFmtId="176" fontId="63" fillId="0" borderId="37" xfId="0" quotePrefix="1" applyNumberFormat="1" applyFont="1" applyBorder="1" applyAlignment="1">
      <alignment horizontal="center"/>
    </xf>
    <xf numFmtId="179" fontId="65" fillId="0" borderId="11" xfId="0" quotePrefix="1" applyNumberFormat="1" applyFont="1" applyBorder="1" applyAlignment="1">
      <alignment horizontal="right"/>
    </xf>
    <xf numFmtId="179" fontId="65" fillId="0" borderId="11" xfId="0" applyNumberFormat="1" applyFont="1" applyBorder="1" applyAlignment="1"/>
    <xf numFmtId="0" fontId="63" fillId="0" borderId="11" xfId="0" applyFont="1" applyBorder="1" applyAlignment="1">
      <alignment horizontal="center"/>
    </xf>
    <xf numFmtId="0" fontId="63" fillId="0" borderId="80" xfId="0" applyFont="1" applyBorder="1" applyAlignment="1">
      <alignment horizontal="center"/>
    </xf>
    <xf numFmtId="179" fontId="65" fillId="0" borderId="0" xfId="0" quotePrefix="1" applyNumberFormat="1" applyFont="1" applyAlignment="1">
      <alignment horizontal="center"/>
    </xf>
    <xf numFmtId="176" fontId="63" fillId="0" borderId="11" xfId="0" quotePrefix="1" applyNumberFormat="1" applyFont="1" applyBorder="1" applyAlignment="1">
      <alignment horizontal="center"/>
    </xf>
    <xf numFmtId="179" fontId="75" fillId="0" borderId="11" xfId="0" quotePrefix="1" applyNumberFormat="1" applyFont="1" applyBorder="1" applyAlignment="1">
      <alignment horizontal="right"/>
    </xf>
    <xf numFmtId="179" fontId="76" fillId="0" borderId="11" xfId="0" quotePrefix="1" applyNumberFormat="1" applyFont="1" applyBorder="1" applyAlignment="1">
      <alignment horizontal="right"/>
    </xf>
    <xf numFmtId="179" fontId="65" fillId="0" borderId="11" xfId="0" quotePrefix="1" applyNumberFormat="1" applyFont="1" applyBorder="1" applyAlignment="1"/>
    <xf numFmtId="179" fontId="75" fillId="0" borderId="11" xfId="0" quotePrefix="1" applyNumberFormat="1" applyFont="1" applyBorder="1" applyAlignment="1"/>
    <xf numFmtId="176" fontId="63" fillId="0" borderId="38" xfId="0" quotePrefix="1" applyNumberFormat="1" applyFont="1" applyBorder="1" applyAlignment="1">
      <alignment horizontal="center"/>
    </xf>
    <xf numFmtId="0" fontId="65" fillId="0" borderId="49" xfId="0" applyFont="1" applyBorder="1" applyAlignment="1">
      <alignment horizontal="left"/>
    </xf>
    <xf numFmtId="179" fontId="65" fillId="0" borderId="12" xfId="0" quotePrefix="1" applyNumberFormat="1" applyFont="1" applyBorder="1" applyAlignment="1">
      <alignment horizontal="right"/>
    </xf>
    <xf numFmtId="179" fontId="76" fillId="0" borderId="12" xfId="0" quotePrefix="1" applyNumberFormat="1" applyFont="1" applyBorder="1" applyAlignment="1">
      <alignment horizontal="right"/>
    </xf>
    <xf numFmtId="179" fontId="65" fillId="0" borderId="12" xfId="0" applyNumberFormat="1" applyFont="1" applyBorder="1" applyAlignment="1"/>
    <xf numFmtId="0" fontId="63" fillId="0" borderId="12" xfId="0" applyFont="1" applyBorder="1" applyAlignment="1">
      <alignment horizontal="center"/>
    </xf>
    <xf numFmtId="0" fontId="63" fillId="0" borderId="81" xfId="0" applyFont="1" applyBorder="1" applyAlignment="1">
      <alignment horizontal="center"/>
    </xf>
    <xf numFmtId="176" fontId="63" fillId="0" borderId="12" xfId="0" quotePrefix="1" applyNumberFormat="1" applyFont="1" applyBorder="1" applyAlignment="1">
      <alignment horizontal="center"/>
    </xf>
    <xf numFmtId="182" fontId="65" fillId="0" borderId="12" xfId="0" applyNumberFormat="1" applyFont="1" applyBorder="1" applyAlignment="1">
      <alignment horizontal="right" shrinkToFit="1"/>
    </xf>
    <xf numFmtId="179" fontId="65" fillId="0" borderId="12" xfId="0" applyNumberFormat="1" applyFont="1" applyBorder="1" applyAlignment="1">
      <alignment horizontal="right"/>
    </xf>
    <xf numFmtId="179" fontId="75" fillId="0" borderId="12" xfId="0" quotePrefix="1" applyNumberFormat="1" applyFont="1" applyBorder="1" applyAlignment="1">
      <alignment horizontal="right"/>
    </xf>
    <xf numFmtId="179" fontId="65" fillId="0" borderId="10" xfId="0" applyNumberFormat="1" applyFont="1" applyBorder="1" applyAlignment="1">
      <alignment horizontal="right"/>
    </xf>
    <xf numFmtId="179" fontId="65" fillId="0" borderId="13" xfId="0" applyNumberFormat="1" applyFont="1" applyBorder="1" applyAlignment="1"/>
    <xf numFmtId="0" fontId="63" fillId="0" borderId="13" xfId="0" applyFont="1" applyBorder="1" applyAlignment="1">
      <alignment horizontal="center"/>
    </xf>
    <xf numFmtId="0" fontId="63" fillId="0" borderId="82" xfId="0" applyFont="1" applyBorder="1" applyAlignment="1">
      <alignment horizontal="center"/>
    </xf>
    <xf numFmtId="182" fontId="65" fillId="0" borderId="13" xfId="0" applyNumberFormat="1" applyFont="1" applyBorder="1" applyAlignment="1">
      <alignment horizontal="right" shrinkToFit="1"/>
    </xf>
    <xf numFmtId="179" fontId="75" fillId="0" borderId="10" xfId="0" quotePrefix="1" applyNumberFormat="1" applyFont="1" applyBorder="1" applyAlignment="1">
      <alignment horizontal="right"/>
    </xf>
    <xf numFmtId="0" fontId="63" fillId="0" borderId="67" xfId="0" applyFont="1" applyBorder="1" applyAlignment="1">
      <alignment horizontal="center"/>
    </xf>
    <xf numFmtId="179" fontId="65" fillId="0" borderId="11" xfId="0" applyNumberFormat="1" applyFont="1" applyBorder="1" applyAlignment="1">
      <alignment horizontal="right"/>
    </xf>
    <xf numFmtId="0" fontId="63" fillId="0" borderId="74" xfId="0" applyFont="1" applyBorder="1" applyAlignment="1">
      <alignment horizontal="center"/>
    </xf>
    <xf numFmtId="0" fontId="63" fillId="0" borderId="63" xfId="0" applyFont="1" applyBorder="1" applyAlignment="1">
      <alignment horizontal="center"/>
    </xf>
    <xf numFmtId="179" fontId="76" fillId="0" borderId="10" xfId="0" quotePrefix="1" applyNumberFormat="1" applyFont="1" applyBorder="1" applyAlignment="1">
      <alignment horizontal="right"/>
    </xf>
    <xf numFmtId="176" fontId="65" fillId="0" borderId="13" xfId="0" applyNumberFormat="1" applyFont="1" applyBorder="1" applyAlignment="1">
      <alignment horizontal="right" vertical="center"/>
    </xf>
    <xf numFmtId="179" fontId="65" fillId="0" borderId="13" xfId="0" quotePrefix="1" applyNumberFormat="1" applyFont="1" applyBorder="1" applyAlignment="1">
      <alignment horizontal="right"/>
    </xf>
    <xf numFmtId="179" fontId="75" fillId="0" borderId="13" xfId="0" quotePrefix="1" applyNumberFormat="1" applyFont="1" applyBorder="1" applyAlignment="1">
      <alignment horizontal="right"/>
    </xf>
    <xf numFmtId="0" fontId="65" fillId="0" borderId="0" xfId="0" quotePrefix="1" applyFont="1" applyAlignment="1">
      <alignment horizontal="center"/>
    </xf>
    <xf numFmtId="179" fontId="75" fillId="0" borderId="10" xfId="0" applyNumberFormat="1" applyFont="1" applyBorder="1" applyAlignment="1">
      <alignment horizontal="right"/>
    </xf>
    <xf numFmtId="0" fontId="63" fillId="0" borderId="89" xfId="0" applyFont="1" applyBorder="1" applyAlignment="1">
      <alignment horizontal="center"/>
    </xf>
    <xf numFmtId="176" fontId="63" fillId="0" borderId="39" xfId="0" quotePrefix="1" applyNumberFormat="1" applyFont="1" applyBorder="1" applyAlignment="1">
      <alignment horizontal="center"/>
    </xf>
    <xf numFmtId="179" fontId="65" fillId="0" borderId="13" xfId="0" applyNumberFormat="1" applyFont="1" applyBorder="1" applyAlignment="1">
      <alignment horizontal="right"/>
    </xf>
    <xf numFmtId="179" fontId="76" fillId="0" borderId="13" xfId="0" applyNumberFormat="1" applyFont="1" applyBorder="1" applyAlignment="1">
      <alignment horizontal="right"/>
    </xf>
    <xf numFmtId="0" fontId="65" fillId="0" borderId="11" xfId="0" applyFont="1" applyBorder="1" applyAlignment="1">
      <alignment horizontal="left" shrinkToFit="1"/>
    </xf>
    <xf numFmtId="176" fontId="63" fillId="0" borderId="86" xfId="0" quotePrefix="1" applyNumberFormat="1" applyFont="1" applyBorder="1" applyAlignment="1">
      <alignment horizontal="center"/>
    </xf>
    <xf numFmtId="176" fontId="65" fillId="0" borderId="87" xfId="0" applyNumberFormat="1" applyFont="1" applyBorder="1" applyAlignment="1"/>
    <xf numFmtId="0" fontId="65" fillId="0" borderId="87" xfId="0" applyFont="1" applyBorder="1" applyAlignment="1">
      <alignment horizontal="left"/>
    </xf>
    <xf numFmtId="179" fontId="65" fillId="0" borderId="87" xfId="0" quotePrefix="1" applyNumberFormat="1" applyFont="1" applyBorder="1" applyAlignment="1">
      <alignment horizontal="right"/>
    </xf>
    <xf numFmtId="179" fontId="65" fillId="0" borderId="87" xfId="0" applyNumberFormat="1" applyFont="1" applyBorder="1" applyAlignment="1"/>
    <xf numFmtId="0" fontId="63" fillId="0" borderId="87" xfId="0" applyFont="1" applyBorder="1" applyAlignment="1">
      <alignment horizontal="center"/>
    </xf>
    <xf numFmtId="0" fontId="63" fillId="0" borderId="88" xfId="0" applyFont="1" applyBorder="1" applyAlignment="1">
      <alignment horizontal="center"/>
    </xf>
    <xf numFmtId="0" fontId="65" fillId="0" borderId="12" xfId="0" applyFont="1" applyBorder="1" applyAlignment="1">
      <alignment horizontal="left" shrinkToFit="1"/>
    </xf>
    <xf numFmtId="176" fontId="65" fillId="0" borderId="83" xfId="0" quotePrefix="1" applyNumberFormat="1" applyFont="1" applyBorder="1" applyAlignment="1">
      <alignment horizontal="center"/>
    </xf>
    <xf numFmtId="0" fontId="63" fillId="0" borderId="83" xfId="0" applyFont="1" applyBorder="1" applyAlignment="1">
      <alignment horizontal="center"/>
    </xf>
    <xf numFmtId="0" fontId="63" fillId="0" borderId="84" xfId="0" applyFont="1" applyBorder="1" applyAlignment="1">
      <alignment horizontal="center"/>
    </xf>
    <xf numFmtId="0" fontId="63" fillId="0" borderId="85" xfId="0" applyFont="1" applyBorder="1" applyAlignment="1">
      <alignment horizontal="center"/>
    </xf>
    <xf numFmtId="0" fontId="65" fillId="0" borderId="13" xfId="0" applyFont="1" applyBorder="1" applyAlignment="1">
      <alignment horizontal="left" shrinkToFit="1"/>
    </xf>
    <xf numFmtId="0" fontId="63" fillId="0" borderId="14" xfId="0" applyFont="1" applyBorder="1" applyAlignment="1"/>
    <xf numFmtId="14" fontId="63" fillId="0" borderId="0" xfId="0" applyNumberFormat="1" applyFont="1" applyAlignment="1"/>
    <xf numFmtId="0" fontId="63" fillId="0" borderId="0" xfId="0" applyFont="1" applyAlignment="1">
      <alignment horizontal="center" shrinkToFit="1"/>
    </xf>
    <xf numFmtId="0" fontId="63" fillId="0" borderId="0" xfId="0" applyFont="1" applyAlignment="1">
      <alignment shrinkToFit="1"/>
    </xf>
    <xf numFmtId="0" fontId="63" fillId="0" borderId="50" xfId="0" applyFont="1" applyBorder="1" applyAlignment="1"/>
    <xf numFmtId="0" fontId="63" fillId="0" borderId="51" xfId="0" applyFont="1" applyBorder="1" applyAlignment="1"/>
    <xf numFmtId="0" fontId="63" fillId="0" borderId="52" xfId="0" applyFont="1" applyBorder="1" applyAlignment="1"/>
    <xf numFmtId="0" fontId="63" fillId="0" borderId="53" xfId="0" applyFont="1" applyBorder="1" applyAlignment="1">
      <alignment shrinkToFit="1"/>
    </xf>
    <xf numFmtId="0" fontId="63" fillId="0" borderId="0" xfId="0" applyFont="1" applyAlignment="1">
      <alignment horizontal="right"/>
    </xf>
    <xf numFmtId="0" fontId="63" fillId="0" borderId="54" xfId="0" applyFont="1" applyBorder="1" applyAlignment="1">
      <alignment horizontal="right"/>
    </xf>
    <xf numFmtId="0" fontId="64" fillId="0" borderId="0" xfId="0" applyFont="1" applyAlignment="1">
      <alignment horizontal="left"/>
    </xf>
    <xf numFmtId="0" fontId="63" fillId="0" borderId="0" xfId="0" applyFont="1" applyAlignment="1">
      <alignment wrapText="1" shrinkToFit="1"/>
    </xf>
    <xf numFmtId="0" fontId="77" fillId="0" borderId="0" xfId="0" applyFont="1" applyAlignment="1">
      <alignment horizontal="left" readingOrder="1"/>
    </xf>
    <xf numFmtId="0" fontId="63" fillId="0" borderId="55" xfId="0" applyFont="1" applyBorder="1" applyAlignment="1"/>
    <xf numFmtId="0" fontId="63" fillId="0" borderId="56" xfId="0" applyFont="1" applyBorder="1" applyAlignment="1"/>
    <xf numFmtId="0" fontId="63" fillId="0" borderId="57" xfId="0" applyFont="1" applyBorder="1" applyAlignment="1"/>
    <xf numFmtId="176" fontId="65" fillId="25" borderId="13" xfId="0" applyNumberFormat="1" applyFont="1" applyFill="1" applyBorder="1" applyAlignment="1">
      <alignment horizontal="center"/>
    </xf>
    <xf numFmtId="20" fontId="52" fillId="0" borderId="14" xfId="0" applyNumberFormat="1" applyFont="1" applyBorder="1">
      <alignment vertical="center"/>
    </xf>
    <xf numFmtId="0" fontId="52" fillId="0" borderId="29" xfId="0" applyFont="1" applyBorder="1" applyAlignment="1">
      <alignment horizontal="center" vertical="center"/>
    </xf>
    <xf numFmtId="0" fontId="78" fillId="24" borderId="14" xfId="0" applyFont="1" applyFill="1" applyBorder="1" applyAlignment="1"/>
    <xf numFmtId="0" fontId="0" fillId="27" borderId="14" xfId="0" applyFill="1" applyBorder="1" applyAlignment="1">
      <alignment horizontal="center"/>
    </xf>
    <xf numFmtId="38" fontId="50" fillId="25" borderId="98" xfId="46" applyFont="1" applyFill="1" applyBorder="1" applyAlignment="1">
      <alignment horizontal="left" vertical="center"/>
    </xf>
    <xf numFmtId="0" fontId="79" fillId="0" borderId="14" xfId="0" applyFont="1" applyBorder="1" applyAlignment="1"/>
    <xf numFmtId="0" fontId="80" fillId="0" borderId="14" xfId="0" applyFont="1" applyBorder="1" applyAlignment="1">
      <alignment horizontal="center" vertical="center" shrinkToFit="1"/>
    </xf>
    <xf numFmtId="2" fontId="80" fillId="0" borderId="16" xfId="0" applyNumberFormat="1" applyFont="1" applyBorder="1">
      <alignment vertical="center"/>
    </xf>
    <xf numFmtId="2" fontId="80" fillId="0" borderId="14" xfId="0" applyNumberFormat="1" applyFont="1" applyBorder="1" applyAlignment="1">
      <alignment vertical="center" shrinkToFit="1"/>
    </xf>
    <xf numFmtId="2" fontId="80" fillId="0" borderId="17" xfId="0" applyNumberFormat="1" applyFont="1" applyBorder="1">
      <alignment vertical="center"/>
    </xf>
    <xf numFmtId="182" fontId="80" fillId="0" borderId="98" xfId="0" applyNumberFormat="1" applyFont="1" applyBorder="1">
      <alignment vertical="center"/>
    </xf>
    <xf numFmtId="182" fontId="80" fillId="0" borderId="14" xfId="0" applyNumberFormat="1" applyFont="1" applyBorder="1">
      <alignment vertical="center"/>
    </xf>
    <xf numFmtId="182" fontId="80" fillId="0" borderId="17" xfId="0" applyNumberFormat="1" applyFont="1" applyBorder="1">
      <alignment vertical="center"/>
    </xf>
    <xf numFmtId="176" fontId="65" fillId="25" borderId="10" xfId="0" applyNumberFormat="1" applyFont="1" applyFill="1" applyBorder="1" applyAlignment="1">
      <alignment horizontal="right" vertical="center"/>
    </xf>
    <xf numFmtId="182" fontId="80" fillId="0" borderId="0" xfId="0" quotePrefix="1" applyNumberFormat="1" applyFont="1">
      <alignment vertical="center"/>
    </xf>
    <xf numFmtId="20" fontId="65" fillId="25" borderId="26" xfId="0" applyNumberFormat="1" applyFont="1" applyFill="1" applyBorder="1" applyAlignment="1">
      <alignment horizontal="left"/>
    </xf>
    <xf numFmtId="20" fontId="65" fillId="25" borderId="27" xfId="0" applyNumberFormat="1" applyFont="1" applyFill="1" applyBorder="1" applyAlignment="1">
      <alignment horizontal="left"/>
    </xf>
    <xf numFmtId="20" fontId="65" fillId="25" borderId="28" xfId="0" applyNumberFormat="1" applyFont="1" applyFill="1" applyBorder="1" applyAlignment="1">
      <alignment horizontal="left"/>
    </xf>
    <xf numFmtId="20" fontId="65" fillId="25" borderId="58" xfId="0" applyNumberFormat="1" applyFont="1" applyFill="1" applyBorder="1" applyAlignment="1">
      <alignment horizontal="right"/>
    </xf>
    <xf numFmtId="179" fontId="65" fillId="0" borderId="12" xfId="0" quotePrefix="1" applyNumberFormat="1" applyFont="1" applyBorder="1" applyAlignment="1"/>
    <xf numFmtId="0" fontId="81" fillId="0" borderId="14" xfId="0" applyFont="1" applyBorder="1" applyAlignment="1">
      <alignment horizontal="center" vertical="center" shrinkToFit="1"/>
    </xf>
    <xf numFmtId="2" fontId="81" fillId="0" borderId="16" xfId="0" applyNumberFormat="1" applyFont="1" applyBorder="1">
      <alignment vertical="center"/>
    </xf>
    <xf numFmtId="2" fontId="81" fillId="0" borderId="14" xfId="0" applyNumberFormat="1" applyFont="1" applyBorder="1" applyAlignment="1">
      <alignment vertical="center" shrinkToFit="1"/>
    </xf>
    <xf numFmtId="2" fontId="81" fillId="0" borderId="17" xfId="0" applyNumberFormat="1" applyFont="1" applyBorder="1">
      <alignment vertical="center"/>
    </xf>
    <xf numFmtId="182" fontId="81" fillId="0" borderId="98" xfId="0" applyNumberFormat="1" applyFont="1" applyBorder="1">
      <alignment vertical="center"/>
    </xf>
    <xf numFmtId="182" fontId="81" fillId="0" borderId="14" xfId="0" applyNumberFormat="1" applyFont="1" applyBorder="1">
      <alignment vertical="center"/>
    </xf>
    <xf numFmtId="182" fontId="81" fillId="0" borderId="17" xfId="0" applyNumberFormat="1" applyFont="1" applyBorder="1">
      <alignment vertical="center"/>
    </xf>
    <xf numFmtId="0" fontId="54" fillId="25" borderId="0" xfId="0" applyFont="1" applyFill="1" applyAlignment="1">
      <alignment horizontal="right" vertical="top"/>
    </xf>
    <xf numFmtId="0" fontId="54" fillId="25" borderId="0" xfId="0" applyFont="1" applyFill="1" applyAlignment="1">
      <alignment horizontal="center" wrapText="1"/>
    </xf>
    <xf numFmtId="0" fontId="53" fillId="25" borderId="0" xfId="0" applyFont="1" applyFill="1" applyAlignment="1">
      <alignment horizontal="left" vertical="top" wrapText="1"/>
    </xf>
    <xf numFmtId="0" fontId="53" fillId="25" borderId="105" xfId="0" applyFont="1" applyFill="1" applyBorder="1" applyAlignment="1">
      <alignment horizontal="left" vertical="top" wrapText="1"/>
    </xf>
    <xf numFmtId="0" fontId="66" fillId="25" borderId="109" xfId="0" applyFont="1" applyFill="1" applyBorder="1" applyAlignment="1">
      <alignment horizontal="left" vertical="top" wrapText="1"/>
    </xf>
    <xf numFmtId="0" fontId="66" fillId="25" borderId="110" xfId="0" applyFont="1" applyFill="1" applyBorder="1" applyAlignment="1">
      <alignment horizontal="left" vertical="top" wrapText="1"/>
    </xf>
    <xf numFmtId="0" fontId="66" fillId="25" borderId="101" xfId="0" applyFont="1" applyFill="1" applyBorder="1" applyAlignment="1">
      <alignment horizontal="left" vertical="top" wrapText="1"/>
    </xf>
    <xf numFmtId="0" fontId="66" fillId="25" borderId="111" xfId="0" applyFont="1" applyFill="1" applyBorder="1" applyAlignment="1">
      <alignment horizontal="left" vertical="top" wrapText="1"/>
    </xf>
    <xf numFmtId="0" fontId="66" fillId="25" borderId="0" xfId="0" applyFont="1" applyFill="1" applyAlignment="1">
      <alignment horizontal="left" vertical="top" wrapText="1"/>
    </xf>
    <xf numFmtId="0" fontId="66" fillId="25" borderId="105" xfId="0" applyFont="1" applyFill="1" applyBorder="1" applyAlignment="1">
      <alignment horizontal="left" vertical="top" wrapText="1"/>
    </xf>
    <xf numFmtId="0" fontId="66" fillId="25" borderId="112" xfId="0" applyFont="1" applyFill="1" applyBorder="1" applyAlignment="1">
      <alignment horizontal="left" vertical="top" wrapText="1"/>
    </xf>
    <xf numFmtId="0" fontId="66" fillId="25" borderId="93" xfId="0" applyFont="1" applyFill="1" applyBorder="1" applyAlignment="1">
      <alignment horizontal="left" vertical="top" wrapText="1"/>
    </xf>
    <xf numFmtId="0" fontId="66" fillId="25" borderId="97" xfId="0" applyFont="1" applyFill="1" applyBorder="1" applyAlignment="1">
      <alignment horizontal="left" vertical="top" wrapText="1"/>
    </xf>
    <xf numFmtId="0" fontId="63" fillId="25" borderId="109" xfId="0" applyFont="1" applyFill="1" applyBorder="1" applyAlignment="1">
      <alignment horizontal="left" vertical="top" wrapText="1"/>
    </xf>
    <xf numFmtId="0" fontId="63" fillId="25" borderId="110" xfId="0" applyFont="1" applyFill="1" applyBorder="1" applyAlignment="1">
      <alignment horizontal="left" vertical="top" wrapText="1"/>
    </xf>
    <xf numFmtId="0" fontId="63" fillId="25" borderId="101" xfId="0" applyFont="1" applyFill="1" applyBorder="1" applyAlignment="1">
      <alignment horizontal="left" vertical="top" wrapText="1"/>
    </xf>
    <xf numFmtId="0" fontId="63" fillId="25" borderId="111" xfId="0" applyFont="1" applyFill="1" applyBorder="1" applyAlignment="1">
      <alignment horizontal="left" vertical="top" wrapText="1"/>
    </xf>
    <xf numFmtId="0" fontId="63" fillId="25" borderId="0" xfId="0" applyFont="1" applyFill="1" applyAlignment="1">
      <alignment horizontal="left" vertical="top" wrapText="1"/>
    </xf>
    <xf numFmtId="0" fontId="63" fillId="25" borderId="105" xfId="0" applyFont="1" applyFill="1" applyBorder="1" applyAlignment="1">
      <alignment horizontal="left" vertical="top" wrapText="1"/>
    </xf>
    <xf numFmtId="0" fontId="63" fillId="25" borderId="115" xfId="0" applyFont="1" applyFill="1" applyBorder="1" applyAlignment="1">
      <alignment horizontal="left" vertical="top" wrapText="1"/>
    </xf>
    <xf numFmtId="0" fontId="63" fillId="25" borderId="34" xfId="0" applyFont="1" applyFill="1" applyBorder="1" applyAlignment="1">
      <alignment horizontal="left" vertical="top" wrapText="1"/>
    </xf>
    <xf numFmtId="0" fontId="63" fillId="25" borderId="106" xfId="0" applyFont="1" applyFill="1" applyBorder="1" applyAlignment="1">
      <alignment horizontal="left" vertical="top" wrapText="1"/>
    </xf>
    <xf numFmtId="0" fontId="53" fillId="25" borderId="92" xfId="0" applyFont="1" applyFill="1" applyBorder="1" applyAlignment="1">
      <alignment horizontal="left" vertical="top" wrapText="1"/>
    </xf>
    <xf numFmtId="0" fontId="53" fillId="25" borderId="116" xfId="0" applyFont="1" applyFill="1" applyBorder="1" applyAlignment="1">
      <alignment horizontal="left" vertical="top" wrapText="1"/>
    </xf>
    <xf numFmtId="0" fontId="53" fillId="25" borderId="34" xfId="0" applyFont="1" applyFill="1" applyBorder="1" applyAlignment="1">
      <alignment horizontal="center" vertical="top" wrapText="1"/>
    </xf>
    <xf numFmtId="0" fontId="53" fillId="25" borderId="106" xfId="0" applyFont="1" applyFill="1" applyBorder="1" applyAlignment="1">
      <alignment horizontal="center" vertical="top" wrapText="1"/>
    </xf>
    <xf numFmtId="0" fontId="54" fillId="25" borderId="0" xfId="0" applyFont="1" applyFill="1" applyAlignment="1">
      <alignment horizontal="center"/>
    </xf>
    <xf numFmtId="0" fontId="60" fillId="25" borderId="107" xfId="0" applyFont="1" applyFill="1" applyBorder="1" applyAlignment="1">
      <alignment horizontal="center"/>
    </xf>
    <xf numFmtId="0" fontId="60" fillId="25" borderId="108" xfId="0" applyFont="1" applyFill="1" applyBorder="1" applyAlignment="1">
      <alignment horizontal="center"/>
    </xf>
    <xf numFmtId="0" fontId="65" fillId="25" borderId="94" xfId="0" applyFont="1" applyFill="1" applyBorder="1" applyAlignment="1">
      <alignment horizontal="left" vertical="top" wrapText="1"/>
    </xf>
    <xf numFmtId="0" fontId="65" fillId="25" borderId="110" xfId="0" applyFont="1" applyFill="1" applyBorder="1" applyAlignment="1">
      <alignment horizontal="left" vertical="top" wrapText="1"/>
    </xf>
    <xf numFmtId="0" fontId="65" fillId="25" borderId="113" xfId="0" applyFont="1" applyFill="1" applyBorder="1" applyAlignment="1">
      <alignment horizontal="left" vertical="top" wrapText="1"/>
    </xf>
    <xf numFmtId="0" fontId="65" fillId="25" borderId="92" xfId="0" applyFont="1" applyFill="1" applyBorder="1" applyAlignment="1">
      <alignment horizontal="left" vertical="top" wrapText="1"/>
    </xf>
    <xf numFmtId="0" fontId="65" fillId="25" borderId="0" xfId="0" applyFont="1" applyFill="1" applyAlignment="1">
      <alignment horizontal="left" vertical="top" wrapText="1"/>
    </xf>
    <xf numFmtId="0" fontId="65" fillId="25" borderId="25" xfId="0" applyFont="1" applyFill="1" applyBorder="1" applyAlignment="1">
      <alignment horizontal="left" vertical="top" wrapText="1"/>
    </xf>
    <xf numFmtId="0" fontId="65" fillId="25" borderId="84" xfId="0" applyFont="1" applyFill="1" applyBorder="1" applyAlignment="1">
      <alignment horizontal="left" vertical="top" wrapText="1"/>
    </xf>
    <xf numFmtId="0" fontId="65" fillId="25" borderId="34" xfId="0" applyFont="1" applyFill="1" applyBorder="1" applyAlignment="1">
      <alignment horizontal="left" vertical="top" wrapText="1"/>
    </xf>
    <xf numFmtId="0" fontId="65" fillId="25" borderId="114" xfId="0" applyFont="1" applyFill="1" applyBorder="1" applyAlignment="1">
      <alignment horizontal="left" vertical="top" wrapText="1"/>
    </xf>
    <xf numFmtId="0" fontId="53" fillId="25" borderId="110" xfId="0" applyFont="1" applyFill="1" applyBorder="1" applyAlignment="1">
      <alignment horizontal="left" vertical="top" wrapText="1"/>
    </xf>
    <xf numFmtId="0" fontId="53" fillId="25" borderId="101" xfId="0" applyFont="1" applyFill="1" applyBorder="1" applyAlignment="1">
      <alignment horizontal="left" vertical="top" wrapText="1"/>
    </xf>
    <xf numFmtId="56" fontId="53" fillId="25" borderId="110" xfId="0" applyNumberFormat="1" applyFont="1" applyFill="1" applyBorder="1" applyAlignment="1">
      <alignment horizontal="left" vertical="top" wrapText="1"/>
    </xf>
    <xf numFmtId="0" fontId="72" fillId="25" borderId="94" xfId="0" applyFont="1" applyFill="1" applyBorder="1" applyAlignment="1">
      <alignment horizontal="left" vertical="top" wrapText="1"/>
    </xf>
    <xf numFmtId="0" fontId="72" fillId="25" borderId="110" xfId="0" applyFont="1" applyFill="1" applyBorder="1" applyAlignment="1">
      <alignment horizontal="left" vertical="top" wrapText="1"/>
    </xf>
    <xf numFmtId="0" fontId="72" fillId="25" borderId="113" xfId="0" applyFont="1" applyFill="1" applyBorder="1" applyAlignment="1">
      <alignment horizontal="left" vertical="top" wrapText="1"/>
    </xf>
    <xf numFmtId="0" fontId="72" fillId="25" borderId="92" xfId="0" applyFont="1" applyFill="1" applyBorder="1" applyAlignment="1">
      <alignment horizontal="left" vertical="top" wrapText="1"/>
    </xf>
    <xf numFmtId="0" fontId="72" fillId="25" borderId="0" xfId="0" applyFont="1" applyFill="1" applyAlignment="1">
      <alignment horizontal="left" vertical="top" wrapText="1"/>
    </xf>
    <xf numFmtId="0" fontId="72" fillId="25" borderId="25" xfId="0" applyFont="1" applyFill="1" applyBorder="1" applyAlignment="1">
      <alignment horizontal="left" vertical="top" wrapText="1"/>
    </xf>
    <xf numFmtId="0" fontId="72" fillId="25" borderId="84" xfId="0" applyFont="1" applyFill="1" applyBorder="1" applyAlignment="1">
      <alignment horizontal="left" vertical="top" wrapText="1"/>
    </xf>
    <xf numFmtId="0" fontId="72" fillId="25" borderId="34" xfId="0" applyFont="1" applyFill="1" applyBorder="1" applyAlignment="1">
      <alignment horizontal="left" vertical="top" wrapText="1"/>
    </xf>
    <xf numFmtId="0" fontId="72" fillId="25" borderId="114" xfId="0" applyFont="1" applyFill="1" applyBorder="1" applyAlignment="1">
      <alignment horizontal="left" vertical="top" wrapText="1"/>
    </xf>
    <xf numFmtId="0" fontId="65" fillId="25" borderId="105" xfId="0" applyFont="1" applyFill="1" applyBorder="1" applyAlignment="1">
      <alignment horizontal="left" vertical="top" wrapText="1"/>
    </xf>
    <xf numFmtId="0" fontId="63" fillId="0" borderId="117" xfId="0" applyFont="1" applyBorder="1" applyAlignment="1">
      <alignment horizontal="center" vertical="center"/>
    </xf>
    <xf numFmtId="0" fontId="63" fillId="0" borderId="118" xfId="0" applyFont="1" applyBorder="1" applyAlignment="1">
      <alignment horizontal="center" vertical="center"/>
    </xf>
    <xf numFmtId="0" fontId="63" fillId="0" borderId="119" xfId="0" applyFont="1" applyBorder="1" applyAlignment="1">
      <alignment horizontal="center" vertical="center"/>
    </xf>
    <xf numFmtId="0" fontId="63" fillId="0" borderId="0" xfId="0" applyFont="1" applyAlignment="1">
      <alignment horizontal="center" shrinkToFit="1"/>
    </xf>
    <xf numFmtId="0" fontId="63" fillId="0" borderId="53" xfId="0" applyFont="1" applyBorder="1" applyAlignment="1">
      <alignment horizontal="left" shrinkToFit="1"/>
    </xf>
    <xf numFmtId="0" fontId="63" fillId="0" borderId="0" xfId="0" applyFont="1" applyAlignment="1">
      <alignment horizontal="left" shrinkToFit="1"/>
    </xf>
    <xf numFmtId="0" fontId="57" fillId="0" borderId="0" xfId="0" applyFont="1" applyAlignment="1">
      <alignment horizontal="center" vertical="center"/>
    </xf>
    <xf numFmtId="0" fontId="54" fillId="0" borderId="0" xfId="0" applyFont="1" applyAlignment="1">
      <alignment horizontal="center" vertical="center"/>
    </xf>
    <xf numFmtId="0" fontId="63" fillId="0" borderId="0" xfId="0" applyFont="1" applyAlignment="1">
      <alignment horizontal="right" vertical="center" shrinkToFit="1"/>
    </xf>
    <xf numFmtId="0" fontId="63" fillId="0" borderId="30" xfId="0" applyFont="1" applyBorder="1" applyAlignment="1">
      <alignment horizontal="center" vertical="center"/>
    </xf>
    <xf numFmtId="0" fontId="63" fillId="0" borderId="23" xfId="0" applyFont="1" applyBorder="1" applyAlignment="1">
      <alignment horizontal="center" vertical="center"/>
    </xf>
    <xf numFmtId="0" fontId="63" fillId="0" borderId="43" xfId="0" applyFont="1" applyBorder="1" applyAlignment="1">
      <alignment horizontal="center" vertical="center"/>
    </xf>
    <xf numFmtId="0" fontId="65" fillId="0" borderId="31" xfId="0" applyFont="1" applyBorder="1" applyAlignment="1">
      <alignment horizontal="center" vertical="center" wrapText="1"/>
    </xf>
    <xf numFmtId="0" fontId="65" fillId="0" borderId="24" xfId="0" applyFont="1" applyBorder="1" applyAlignment="1">
      <alignment horizontal="center" vertical="center" wrapText="1"/>
    </xf>
    <xf numFmtId="0" fontId="65" fillId="0" borderId="29" xfId="0" applyFont="1" applyBorder="1" applyAlignment="1">
      <alignment horizontal="center" vertical="center" wrapText="1"/>
    </xf>
    <xf numFmtId="0" fontId="63" fillId="0" borderId="31" xfId="0" applyFont="1" applyBorder="1" applyAlignment="1">
      <alignment horizontal="center" vertical="center" shrinkToFit="1"/>
    </xf>
    <xf numFmtId="0" fontId="63" fillId="0" borderId="24" xfId="0" applyFont="1" applyBorder="1" applyAlignment="1">
      <alignment horizontal="center" vertical="center" shrinkToFit="1"/>
    </xf>
    <xf numFmtId="0" fontId="63" fillId="0" borderId="29" xfId="0" applyFont="1" applyBorder="1" applyAlignment="1">
      <alignment horizontal="center" vertical="center" shrinkToFit="1"/>
    </xf>
    <xf numFmtId="0" fontId="63" fillId="0" borderId="31" xfId="0" applyFont="1" applyBorder="1" applyAlignment="1">
      <alignment horizontal="center" vertical="center"/>
    </xf>
    <xf numFmtId="0" fontId="63" fillId="0" borderId="24" xfId="0" applyFont="1" applyBorder="1" applyAlignment="1">
      <alignment horizontal="center" vertical="center"/>
    </xf>
    <xf numFmtId="0" fontId="63" fillId="0" borderId="29" xfId="0" applyFont="1" applyBorder="1" applyAlignment="1">
      <alignment horizontal="center" vertical="center"/>
    </xf>
    <xf numFmtId="0" fontId="63" fillId="0" borderId="31" xfId="0" applyFont="1" applyBorder="1" applyAlignment="1">
      <alignment horizontal="center" vertical="center" textRotation="255"/>
    </xf>
    <xf numFmtId="0" fontId="63" fillId="0" borderId="24" xfId="0" applyFont="1" applyBorder="1" applyAlignment="1">
      <alignment horizontal="center" vertical="center" textRotation="255"/>
    </xf>
    <xf numFmtId="0" fontId="63" fillId="0" borderId="29" xfId="0" applyFont="1" applyBorder="1" applyAlignment="1">
      <alignment horizontal="center" vertical="center" textRotation="255"/>
    </xf>
    <xf numFmtId="0" fontId="63" fillId="0" borderId="120" xfId="0" applyFont="1" applyBorder="1" applyAlignment="1">
      <alignment horizontal="center" vertical="center" textRotation="255"/>
    </xf>
    <xf numFmtId="0" fontId="63" fillId="0" borderId="121" xfId="0" applyFont="1" applyBorder="1" applyAlignment="1">
      <alignment horizontal="center" vertical="center" textRotation="255"/>
    </xf>
    <xf numFmtId="0" fontId="63" fillId="0" borderId="122" xfId="0" applyFont="1" applyBorder="1" applyAlignment="1">
      <alignment horizontal="center" vertical="center" textRotation="255"/>
    </xf>
    <xf numFmtId="0" fontId="63" fillId="0" borderId="15" xfId="0" applyFont="1" applyBorder="1" applyAlignment="1">
      <alignment horizontal="center" vertical="center"/>
    </xf>
    <xf numFmtId="0" fontId="63" fillId="0" borderId="16" xfId="0" applyFont="1" applyBorder="1" applyAlignment="1">
      <alignment horizontal="center" vertical="center"/>
    </xf>
    <xf numFmtId="0" fontId="65" fillId="0" borderId="32" xfId="0" applyFont="1" applyBorder="1" applyAlignment="1">
      <alignment horizontal="center" vertical="center" wrapText="1"/>
    </xf>
    <xf numFmtId="0" fontId="65" fillId="0" borderId="14" xfId="0" applyFont="1" applyBorder="1" applyAlignment="1">
      <alignment horizontal="center" vertical="center" wrapText="1"/>
    </xf>
    <xf numFmtId="0" fontId="63" fillId="0" borderId="32" xfId="0" applyFont="1" applyBorder="1" applyAlignment="1">
      <alignment horizontal="center" vertical="center" shrinkToFit="1"/>
    </xf>
    <xf numFmtId="0" fontId="63" fillId="0" borderId="14" xfId="0" applyFont="1" applyBorder="1" applyAlignment="1">
      <alignment horizontal="center" vertical="center" shrinkToFit="1"/>
    </xf>
    <xf numFmtId="0" fontId="63" fillId="0" borderId="32" xfId="0" applyFont="1" applyBorder="1" applyAlignment="1">
      <alignment horizontal="center" vertical="center"/>
    </xf>
    <xf numFmtId="0" fontId="63" fillId="0" borderId="14" xfId="0" applyFont="1" applyBorder="1" applyAlignment="1">
      <alignment horizontal="center" vertical="center"/>
    </xf>
    <xf numFmtId="0" fontId="63" fillId="0" borderId="32" xfId="0" applyFont="1" applyBorder="1" applyAlignment="1">
      <alignment horizontal="center" vertical="center" textRotation="255"/>
    </xf>
    <xf numFmtId="0" fontId="63" fillId="0" borderId="14" xfId="0" applyFont="1" applyBorder="1" applyAlignment="1">
      <alignment horizontal="center" vertical="center" textRotation="255"/>
    </xf>
    <xf numFmtId="0" fontId="63" fillId="0" borderId="123" xfId="0" applyFont="1" applyBorder="1" applyAlignment="1">
      <alignment horizontal="center" vertical="center" textRotation="255"/>
    </xf>
    <xf numFmtId="0" fontId="63" fillId="0" borderId="124" xfId="0" applyFont="1" applyBorder="1" applyAlignment="1">
      <alignment horizontal="center" vertical="center" textRotation="255"/>
    </xf>
    <xf numFmtId="0" fontId="63" fillId="0" borderId="115" xfId="0" applyFont="1" applyBorder="1" applyAlignment="1">
      <alignment horizontal="center" vertical="center"/>
    </xf>
    <xf numFmtId="0" fontId="63" fillId="0" borderId="34" xfId="0" applyFont="1" applyBorder="1" applyAlignment="1">
      <alignment horizontal="center" vertical="center"/>
    </xf>
    <xf numFmtId="0" fontId="63" fillId="0" borderId="106" xfId="0" applyFont="1" applyBorder="1" applyAlignment="1">
      <alignment horizontal="center" vertical="center"/>
    </xf>
    <xf numFmtId="0" fontId="8" fillId="0" borderId="0" xfId="0" applyFont="1" applyAlignment="1">
      <alignment horizontal="center" shrinkToFit="1"/>
    </xf>
    <xf numFmtId="56" fontId="8" fillId="0" borderId="12" xfId="0" applyNumberFormat="1" applyFont="1" applyBorder="1" applyAlignment="1">
      <alignment horizontal="center" vertical="center" shrinkToFit="1"/>
    </xf>
    <xf numFmtId="0" fontId="8" fillId="0" borderId="12" xfId="0" applyFont="1" applyBorder="1" applyAlignment="1">
      <alignment horizontal="center" vertical="center" shrinkToFit="1"/>
    </xf>
    <xf numFmtId="0" fontId="21" fillId="0" borderId="0" xfId="0" applyFont="1" applyAlignment="1">
      <alignment horizontal="center" vertical="center"/>
    </xf>
    <xf numFmtId="0" fontId="50" fillId="0" borderId="61" xfId="0" applyFont="1" applyBorder="1" applyAlignment="1">
      <alignment horizontal="center" vertical="center"/>
    </xf>
    <xf numFmtId="0" fontId="50" fillId="0" borderId="98" xfId="0" applyFont="1" applyBorder="1" applyAlignment="1">
      <alignment horizontal="center" vertical="center"/>
    </xf>
    <xf numFmtId="0" fontId="15" fillId="0" borderId="0" xfId="0" applyFont="1" applyAlignment="1">
      <alignment horizontal="center"/>
    </xf>
    <xf numFmtId="0" fontId="5" fillId="0" borderId="0" xfId="0" applyFont="1" applyAlignment="1">
      <alignment horizontal="center"/>
    </xf>
    <xf numFmtId="0" fontId="18" fillId="0" borderId="93" xfId="0" applyFont="1" applyBorder="1" applyAlignment="1">
      <alignment horizontal="center" vertical="center"/>
    </xf>
    <xf numFmtId="14" fontId="8" fillId="0" borderId="0" xfId="0" applyNumberFormat="1" applyFont="1" applyAlignment="1">
      <alignment horizontal="center" vertical="center" shrinkToFit="1"/>
    </xf>
    <xf numFmtId="0" fontId="8" fillId="0" borderId="0" xfId="0" applyFont="1" applyAlignment="1">
      <alignment horizontal="center" vertical="center" shrinkToFit="1"/>
    </xf>
    <xf numFmtId="55" fontId="63" fillId="0" borderId="0" xfId="0" applyNumberFormat="1" applyFont="1" applyAlignment="1">
      <alignment horizontal="right" vertical="center" shrinkToFit="1"/>
    </xf>
  </cellXfs>
  <cellStyles count="47">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アクセント 1 2" xfId="19"/>
    <cellStyle name="アクセント 2 2" xfId="20"/>
    <cellStyle name="アクセント 3 2" xfId="21"/>
    <cellStyle name="アクセント 4 2" xfId="22"/>
    <cellStyle name="アクセント 5 2" xfId="23"/>
    <cellStyle name="アクセント 6 2" xfId="24"/>
    <cellStyle name="タイトル 2" xfId="25"/>
    <cellStyle name="チェック セル 2" xfId="26"/>
    <cellStyle name="どちらでもない 2" xfId="27"/>
    <cellStyle name="メモ 2" xfId="28"/>
    <cellStyle name="リンク セル 2" xfId="29"/>
    <cellStyle name="悪い 2" xfId="30"/>
    <cellStyle name="計算 2" xfId="31"/>
    <cellStyle name="警告文 2" xfId="32"/>
    <cellStyle name="桁区切り" xfId="46" builtinId="6"/>
    <cellStyle name="見出し 1 2" xfId="33"/>
    <cellStyle name="見出し 2 2" xfId="34"/>
    <cellStyle name="見出し 3 2" xfId="35"/>
    <cellStyle name="見出し 4 2" xfId="36"/>
    <cellStyle name="集計 2" xfId="37"/>
    <cellStyle name="出力 2" xfId="38"/>
    <cellStyle name="説明文 2" xfId="39"/>
    <cellStyle name="入力 2" xfId="40"/>
    <cellStyle name="標準" xfId="0" builtinId="0"/>
    <cellStyle name="標準 2" xfId="41"/>
    <cellStyle name="標準 3" xfId="42"/>
    <cellStyle name="標準 4" xfId="43"/>
    <cellStyle name="未定義" xfId="44"/>
    <cellStyle name="良い 2" xfI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3</xdr:col>
      <xdr:colOff>123265</xdr:colOff>
      <xdr:row>11</xdr:row>
      <xdr:rowOff>11205</xdr:rowOff>
    </xdr:from>
    <xdr:ext cx="5099986" cy="425822"/>
    <xdr:sp macro="" textlink="">
      <xdr:nvSpPr>
        <xdr:cNvPr id="2" name="テキスト ボックス 1"/>
        <xdr:cNvSpPr txBox="1"/>
      </xdr:nvSpPr>
      <xdr:spPr>
        <a:xfrm>
          <a:off x="1176618" y="2039470"/>
          <a:ext cx="5099986" cy="425822"/>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latin typeface="HGS平成角ｺﾞｼｯｸ体W3" panose="020B0400000000000000" pitchFamily="50" charset="-128"/>
              <a:ea typeface="HGS平成角ｺﾞｼｯｸ体W3" panose="020B0400000000000000" pitchFamily="50" charset="-128"/>
            </a:rPr>
            <a:t>荒天のため</a:t>
          </a:r>
          <a:r>
            <a:rPr kumimoji="1" lang="en-US" altLang="ja-JP" sz="2000">
              <a:latin typeface="HGS平成角ｺﾞｼｯｸ体W3" panose="020B0400000000000000" pitchFamily="50" charset="-128"/>
              <a:ea typeface="HGS平成角ｺﾞｼｯｸ体W3" panose="020B0400000000000000" pitchFamily="50" charset="-128"/>
            </a:rPr>
            <a:t>KFR</a:t>
          </a:r>
          <a:r>
            <a:rPr kumimoji="1" lang="ja-JP" altLang="en-US" sz="2000">
              <a:latin typeface="HGS平成角ｺﾞｼｯｸ体W3" panose="020B0400000000000000" pitchFamily="50" charset="-128"/>
              <a:ea typeface="HGS平成角ｺﾞｼｯｸ体W3" panose="020B0400000000000000" pitchFamily="50" charset="-128"/>
            </a:rPr>
            <a:t> </a:t>
          </a:r>
          <a:r>
            <a:rPr kumimoji="1" lang="en-US" altLang="ja-JP" sz="2000">
              <a:latin typeface="HGS平成角ｺﾞｼｯｸ体W3" panose="020B0400000000000000" pitchFamily="50" charset="-128"/>
              <a:ea typeface="HGS平成角ｺﾞｼｯｸ体W3" panose="020B0400000000000000" pitchFamily="50" charset="-128"/>
            </a:rPr>
            <a:t>6</a:t>
          </a:r>
          <a:r>
            <a:rPr kumimoji="1" lang="ja-JP" altLang="en-US" sz="2000">
              <a:latin typeface="HGS平成角ｺﾞｼｯｸ体W3" panose="020B0400000000000000" pitchFamily="50" charset="-128"/>
              <a:ea typeface="HGS平成角ｺﾞｼｯｸ体W3" panose="020B0400000000000000" pitchFamily="50" charset="-128"/>
            </a:rPr>
            <a:t>月</a:t>
          </a:r>
          <a:r>
            <a:rPr kumimoji="1" lang="en-US" altLang="ja-JP" sz="2000">
              <a:latin typeface="HGS平成角ｺﾞｼｯｸ体W3" panose="020B0400000000000000" pitchFamily="50" charset="-128"/>
              <a:ea typeface="HGS平成角ｺﾞｼｯｸ体W3" panose="020B0400000000000000" pitchFamily="50" charset="-128"/>
            </a:rPr>
            <a:t>16</a:t>
          </a:r>
          <a:r>
            <a:rPr kumimoji="1" lang="ja-JP" altLang="en-US" sz="2000">
              <a:latin typeface="HGS平成角ｺﾞｼｯｸ体W3" panose="020B0400000000000000" pitchFamily="50" charset="-128"/>
              <a:ea typeface="HGS平成角ｺﾞｼｯｸ体W3" panose="020B0400000000000000" pitchFamily="50" charset="-128"/>
            </a:rPr>
            <a:t>日は中止としました。</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269875</xdr:colOff>
      <xdr:row>40</xdr:row>
      <xdr:rowOff>41275</xdr:rowOff>
    </xdr:from>
    <xdr:to>
      <xdr:col>3</xdr:col>
      <xdr:colOff>851513</xdr:colOff>
      <xdr:row>41</xdr:row>
      <xdr:rowOff>130507</xdr:rowOff>
    </xdr:to>
    <xdr:sp macro="" textlink="">
      <xdr:nvSpPr>
        <xdr:cNvPr id="2" name="Text Box 1">
          <a:extLst>
            <a:ext uri="{FF2B5EF4-FFF2-40B4-BE49-F238E27FC236}">
              <a16:creationId xmlns="" xmlns:a16="http://schemas.microsoft.com/office/drawing/2014/main" id="{00000000-0008-0000-0600-000002000000}"/>
            </a:ext>
          </a:extLst>
        </xdr:cNvPr>
        <xdr:cNvSpPr txBox="1">
          <a:spLocks noChangeArrowheads="1"/>
        </xdr:cNvSpPr>
      </xdr:nvSpPr>
      <xdr:spPr bwMode="auto">
        <a:xfrm>
          <a:off x="1152525" y="6753225"/>
          <a:ext cx="581025" cy="276225"/>
        </a:xfrm>
        <a:prstGeom prst="rect">
          <a:avLst/>
        </a:prstGeom>
        <a:solidFill>
          <a:srgbClr val="FFFFFF"/>
        </a:solidFill>
        <a:ln w="9525" cap="rnd">
          <a:noFill/>
          <a:prstDash val="sysDot"/>
          <a:miter lim="800000"/>
          <a:headEnd/>
          <a:tailEnd/>
        </a:ln>
      </xdr:spPr>
      <xdr:txBody>
        <a:bodyPr vertOverflow="clip" wrap="square" lIns="72000" tIns="36000" rIns="0" bIns="36000" anchor="t" upright="1"/>
        <a:lstStyle/>
        <a:p>
          <a:pPr algn="l" rtl="0">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賞　品</a:t>
          </a:r>
        </a:p>
      </xdr:txBody>
    </xdr:sp>
    <xdr:clientData/>
  </xdr:twoCellAnchor>
  <xdr:twoCellAnchor>
    <xdr:from>
      <xdr:col>14</xdr:col>
      <xdr:colOff>0</xdr:colOff>
      <xdr:row>11</xdr:row>
      <xdr:rowOff>0</xdr:rowOff>
    </xdr:from>
    <xdr:to>
      <xdr:col>14</xdr:col>
      <xdr:colOff>0</xdr:colOff>
      <xdr:row>12</xdr:row>
      <xdr:rowOff>0</xdr:rowOff>
    </xdr:to>
    <xdr:sp macro="" textlink="">
      <xdr:nvSpPr>
        <xdr:cNvPr id="3" name="テキスト 204">
          <a:extLst>
            <a:ext uri="{FF2B5EF4-FFF2-40B4-BE49-F238E27FC236}">
              <a16:creationId xmlns="" xmlns:a16="http://schemas.microsoft.com/office/drawing/2014/main" id="{00000000-0008-0000-0600-000003000000}"/>
            </a:ext>
          </a:extLst>
        </xdr:cNvPr>
        <xdr:cNvSpPr txBox="1">
          <a:spLocks noChangeArrowheads="1"/>
        </xdr:cNvSpPr>
      </xdr:nvSpPr>
      <xdr:spPr bwMode="auto">
        <a:xfrm>
          <a:off x="6705600" y="2362200"/>
          <a:ext cx="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①</a:t>
          </a:r>
        </a:p>
        <a:p>
          <a:pPr algn="l" rtl="0">
            <a:defRPr sz="1000"/>
          </a:pPr>
          <a:endPar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endParaRPr>
        </a:p>
      </xdr:txBody>
    </xdr:sp>
    <xdr:clientData/>
  </xdr:twoCellAnchor>
  <xdr:twoCellAnchor>
    <xdr:from>
      <xdr:col>14</xdr:col>
      <xdr:colOff>0</xdr:colOff>
      <xdr:row>15</xdr:row>
      <xdr:rowOff>0</xdr:rowOff>
    </xdr:from>
    <xdr:to>
      <xdr:col>14</xdr:col>
      <xdr:colOff>0</xdr:colOff>
      <xdr:row>16</xdr:row>
      <xdr:rowOff>0</xdr:rowOff>
    </xdr:to>
    <xdr:sp macro="" textlink="">
      <xdr:nvSpPr>
        <xdr:cNvPr id="4" name="テキスト 204">
          <a:extLst>
            <a:ext uri="{FF2B5EF4-FFF2-40B4-BE49-F238E27FC236}">
              <a16:creationId xmlns="" xmlns:a16="http://schemas.microsoft.com/office/drawing/2014/main" id="{00000000-0008-0000-0600-000004000000}"/>
            </a:ext>
          </a:extLst>
        </xdr:cNvPr>
        <xdr:cNvSpPr txBox="1">
          <a:spLocks noChangeArrowheads="1"/>
        </xdr:cNvSpPr>
      </xdr:nvSpPr>
      <xdr:spPr bwMode="auto">
        <a:xfrm>
          <a:off x="6705600" y="3086100"/>
          <a:ext cx="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①</a:t>
          </a:r>
        </a:p>
        <a:p>
          <a:pPr algn="l" rtl="0">
            <a:defRPr sz="1000"/>
          </a:pPr>
          <a:endPar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endParaRPr>
        </a:p>
      </xdr:txBody>
    </xdr:sp>
    <xdr:clientData/>
  </xdr:twoCellAnchor>
  <xdr:twoCellAnchor>
    <xdr:from>
      <xdr:col>14</xdr:col>
      <xdr:colOff>0</xdr:colOff>
      <xdr:row>22</xdr:row>
      <xdr:rowOff>6350</xdr:rowOff>
    </xdr:from>
    <xdr:to>
      <xdr:col>14</xdr:col>
      <xdr:colOff>0</xdr:colOff>
      <xdr:row>23</xdr:row>
      <xdr:rowOff>3113</xdr:rowOff>
    </xdr:to>
    <xdr:sp macro="" textlink="">
      <xdr:nvSpPr>
        <xdr:cNvPr id="7" name="テキスト 204">
          <a:extLst>
            <a:ext uri="{FF2B5EF4-FFF2-40B4-BE49-F238E27FC236}">
              <a16:creationId xmlns="" xmlns:a16="http://schemas.microsoft.com/office/drawing/2014/main" id="{00000000-0008-0000-0600-000007000000}"/>
            </a:ext>
          </a:extLst>
        </xdr:cNvPr>
        <xdr:cNvSpPr txBox="1">
          <a:spLocks noChangeArrowheads="1"/>
        </xdr:cNvSpPr>
      </xdr:nvSpPr>
      <xdr:spPr bwMode="auto">
        <a:xfrm>
          <a:off x="6705600" y="4362450"/>
          <a:ext cx="0" cy="171450"/>
        </a:xfrm>
        <a:prstGeom prst="rect">
          <a:avLst/>
        </a:prstGeom>
        <a:noFill/>
        <a:ln w="9525">
          <a:noFill/>
          <a:miter lim="800000"/>
          <a:headEnd/>
          <a:tailEnd/>
        </a:ln>
      </xdr:spPr>
      <xdr:txBody>
        <a:bodyPr vertOverflow="clip" wrap="square" lIns="27432" tIns="18288" rIns="0" bIns="0" anchor="t" upright="1"/>
        <a:lstStyle/>
        <a:p>
          <a:pPr algn="l" rtl="0">
            <a:defRPr sz="1000"/>
          </a:pPr>
          <a:endParaRPr lang="en-US" altLang="ja-JP" sz="1100" b="0" i="0" u="none" strike="noStrike" baseline="0">
            <a:solidFill>
              <a:srgbClr val="000000"/>
            </a:solidFill>
            <a:latin typeface="HGSｺﾞｼｯｸM" panose="020B0600000000000000" pitchFamily="50" charset="-128"/>
            <a:ea typeface="HGSｺﾞｼｯｸM" panose="020B0600000000000000" pitchFamily="50" charset="-128"/>
          </a:endParaRPr>
        </a:p>
        <a:p>
          <a:pPr algn="l" rtl="0">
            <a:defRPr sz="1000"/>
          </a:pPr>
          <a:endParaRPr lang="en-US" altLang="ja-JP" sz="1100" b="0" i="0" u="none" strike="noStrike" baseline="0">
            <a:solidFill>
              <a:srgbClr val="000000"/>
            </a:solidFill>
            <a:latin typeface="HGSｺﾞｼｯｸM" panose="020B0600000000000000" pitchFamily="50" charset="-128"/>
            <a:ea typeface="HGSｺﾞｼｯｸM" panose="020B0600000000000000" pitchFamily="50" charset="-128"/>
          </a:endParaRPr>
        </a:p>
        <a:p>
          <a:pPr algn="l" rtl="0">
            <a:defRPr sz="1000"/>
          </a:pPr>
          <a:r>
            <a:rPr lang="en-US" altLang="ja-JP" sz="1100" b="0" i="0" u="none" strike="noStrike" baseline="0">
              <a:solidFill>
                <a:srgbClr val="000000"/>
              </a:solidFill>
              <a:latin typeface="HGSｺﾞｼｯｸM" panose="020B0600000000000000" pitchFamily="50" charset="-128"/>
              <a:ea typeface="HGSｺﾞｼｯｸM" panose="020B0600000000000000" pitchFamily="50" charset="-128"/>
            </a:rPr>
            <a:t>B</a:t>
          </a:r>
        </a:p>
        <a:p>
          <a:pPr algn="l" rtl="0">
            <a:defRPr sz="1000"/>
          </a:pPr>
          <a:r>
            <a:rPr lang="en-US" altLang="ja-JP" sz="1100" b="0" i="0" u="none" strike="noStrike" baseline="0">
              <a:solidFill>
                <a:srgbClr val="000000"/>
              </a:solidFill>
              <a:latin typeface="HGSｺﾞｼｯｸM" panose="020B0600000000000000" pitchFamily="50" charset="-128"/>
              <a:ea typeface="HGSｺﾞｼｯｸM" panose="020B0600000000000000" pitchFamily="50" charset="-128"/>
            </a:rPr>
            <a:t>B</a:t>
          </a:r>
        </a:p>
      </xdr:txBody>
    </xdr:sp>
    <xdr:clientData/>
  </xdr:twoCellAnchor>
  <xdr:twoCellAnchor>
    <xdr:from>
      <xdr:col>26</xdr:col>
      <xdr:colOff>269875</xdr:colOff>
      <xdr:row>40</xdr:row>
      <xdr:rowOff>41275</xdr:rowOff>
    </xdr:from>
    <xdr:to>
      <xdr:col>26</xdr:col>
      <xdr:colOff>851782</xdr:colOff>
      <xdr:row>41</xdr:row>
      <xdr:rowOff>130507</xdr:rowOff>
    </xdr:to>
    <xdr:sp macro="" textlink="">
      <xdr:nvSpPr>
        <xdr:cNvPr id="16" name="Text Box 1">
          <a:extLst>
            <a:ext uri="{FF2B5EF4-FFF2-40B4-BE49-F238E27FC236}">
              <a16:creationId xmlns="" xmlns:a16="http://schemas.microsoft.com/office/drawing/2014/main" id="{00000000-0008-0000-0600-000010000000}"/>
            </a:ext>
          </a:extLst>
        </xdr:cNvPr>
        <xdr:cNvSpPr txBox="1">
          <a:spLocks noChangeArrowheads="1"/>
        </xdr:cNvSpPr>
      </xdr:nvSpPr>
      <xdr:spPr bwMode="auto">
        <a:xfrm>
          <a:off x="1381125" y="6838950"/>
          <a:ext cx="581025" cy="276225"/>
        </a:xfrm>
        <a:prstGeom prst="rect">
          <a:avLst/>
        </a:prstGeom>
        <a:solidFill>
          <a:srgbClr val="FFFFFF"/>
        </a:solidFill>
        <a:ln w="9525" cap="rnd">
          <a:noFill/>
          <a:prstDash val="sysDot"/>
          <a:miter lim="800000"/>
          <a:headEnd/>
          <a:tailEnd/>
        </a:ln>
      </xdr:spPr>
      <xdr:txBody>
        <a:bodyPr vertOverflow="clip" wrap="square" lIns="72000" tIns="36000" rIns="0" bIns="36000" anchor="t" upright="1"/>
        <a:lstStyle/>
        <a:p>
          <a:pPr algn="l" rtl="0">
            <a:defRPr sz="1000"/>
          </a:pPr>
          <a:r>
            <a:rPr lang="ja-JP" altLang="en-US" sz="1100" b="0" i="0" u="none" strike="noStrike" baseline="0">
              <a:solidFill>
                <a:srgbClr val="000000"/>
              </a:solidFill>
              <a:latin typeface="ＭＳ 明朝"/>
              <a:ea typeface="ＭＳ 明朝"/>
            </a:rPr>
            <a:t>賞　品</a:t>
          </a:r>
        </a:p>
      </xdr:txBody>
    </xdr:sp>
    <xdr:clientData/>
  </xdr:twoCellAnchor>
  <xdr:twoCellAnchor>
    <xdr:from>
      <xdr:col>5</xdr:col>
      <xdr:colOff>0</xdr:colOff>
      <xdr:row>39</xdr:row>
      <xdr:rowOff>0</xdr:rowOff>
    </xdr:from>
    <xdr:to>
      <xdr:col>5</xdr:col>
      <xdr:colOff>145701</xdr:colOff>
      <xdr:row>39</xdr:row>
      <xdr:rowOff>172509</xdr:rowOff>
    </xdr:to>
    <xdr:sp macro="" textlink="">
      <xdr:nvSpPr>
        <xdr:cNvPr id="23" name="テキスト 204">
          <a:extLst>
            <a:ext uri="{FF2B5EF4-FFF2-40B4-BE49-F238E27FC236}">
              <a16:creationId xmlns="" xmlns:a16="http://schemas.microsoft.com/office/drawing/2014/main" id="{00000000-0008-0000-0600-000017000000}"/>
            </a:ext>
          </a:extLst>
        </xdr:cNvPr>
        <xdr:cNvSpPr txBox="1">
          <a:spLocks noChangeArrowheads="1"/>
        </xdr:cNvSpPr>
      </xdr:nvSpPr>
      <xdr:spPr bwMode="auto">
        <a:xfrm>
          <a:off x="2943225" y="6610350"/>
          <a:ext cx="152400" cy="172509"/>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HGSｺﾞｼｯｸM" panose="020B0600000000000000" pitchFamily="50" charset="-128"/>
              <a:ea typeface="HGSｺﾞｼｯｸM" panose="020B0600000000000000" pitchFamily="50" charset="-128"/>
            </a:rPr>
            <a:t>C</a:t>
          </a:r>
        </a:p>
      </xdr:txBody>
    </xdr:sp>
    <xdr:clientData/>
  </xdr:twoCellAnchor>
  <xdr:twoCellAnchor>
    <xdr:from>
      <xdr:col>6</xdr:col>
      <xdr:colOff>0</xdr:colOff>
      <xdr:row>39</xdr:row>
      <xdr:rowOff>0</xdr:rowOff>
    </xdr:from>
    <xdr:to>
      <xdr:col>6</xdr:col>
      <xdr:colOff>145701</xdr:colOff>
      <xdr:row>39</xdr:row>
      <xdr:rowOff>171450</xdr:rowOff>
    </xdr:to>
    <xdr:sp macro="" textlink="">
      <xdr:nvSpPr>
        <xdr:cNvPr id="24" name="テキスト 204">
          <a:extLst>
            <a:ext uri="{FF2B5EF4-FFF2-40B4-BE49-F238E27FC236}">
              <a16:creationId xmlns="" xmlns:a16="http://schemas.microsoft.com/office/drawing/2014/main" id="{00000000-0008-0000-0600-000018000000}"/>
            </a:ext>
          </a:extLst>
        </xdr:cNvPr>
        <xdr:cNvSpPr txBox="1">
          <a:spLocks noChangeArrowheads="1"/>
        </xdr:cNvSpPr>
      </xdr:nvSpPr>
      <xdr:spPr bwMode="auto">
        <a:xfrm>
          <a:off x="3543300" y="6610350"/>
          <a:ext cx="152400" cy="1714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HGSｺﾞｼｯｸM" panose="020B0600000000000000" pitchFamily="50" charset="-128"/>
              <a:ea typeface="HGSｺﾞｼｯｸM" panose="020B0600000000000000" pitchFamily="50" charset="-128"/>
            </a:rPr>
            <a:t>B</a:t>
          </a:r>
        </a:p>
      </xdr:txBody>
    </xdr:sp>
    <xdr:clientData/>
  </xdr:twoCellAnchor>
  <xdr:twoCellAnchor>
    <xdr:from>
      <xdr:col>4</xdr:col>
      <xdr:colOff>0</xdr:colOff>
      <xdr:row>17</xdr:row>
      <xdr:rowOff>0</xdr:rowOff>
    </xdr:from>
    <xdr:to>
      <xdr:col>4</xdr:col>
      <xdr:colOff>145701</xdr:colOff>
      <xdr:row>17</xdr:row>
      <xdr:rowOff>172509</xdr:rowOff>
    </xdr:to>
    <xdr:sp macro="" textlink="">
      <xdr:nvSpPr>
        <xdr:cNvPr id="9" name="テキスト 204">
          <a:extLst>
            <a:ext uri="{FF2B5EF4-FFF2-40B4-BE49-F238E27FC236}">
              <a16:creationId xmlns="" xmlns:a16="http://schemas.microsoft.com/office/drawing/2014/main" id="{00000000-0008-0000-0600-000009000000}"/>
            </a:ext>
          </a:extLst>
        </xdr:cNvPr>
        <xdr:cNvSpPr txBox="1">
          <a:spLocks noChangeArrowheads="1"/>
        </xdr:cNvSpPr>
      </xdr:nvSpPr>
      <xdr:spPr bwMode="auto">
        <a:xfrm>
          <a:off x="2342029" y="4370294"/>
          <a:ext cx="145701" cy="172509"/>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HGSｺﾞｼｯｸM" panose="020B0600000000000000" pitchFamily="50" charset="-128"/>
              <a:ea typeface="HGSｺﾞｼｯｸM" panose="020B0600000000000000" pitchFamily="50" charset="-128"/>
            </a:rPr>
            <a:t>C</a:t>
          </a:r>
        </a:p>
      </xdr:txBody>
    </xdr:sp>
    <xdr:clientData/>
  </xdr:twoCellAnchor>
  <xdr:twoCellAnchor>
    <xdr:from>
      <xdr:col>5</xdr:col>
      <xdr:colOff>0</xdr:colOff>
      <xdr:row>12</xdr:row>
      <xdr:rowOff>0</xdr:rowOff>
    </xdr:from>
    <xdr:to>
      <xdr:col>5</xdr:col>
      <xdr:colOff>145701</xdr:colOff>
      <xdr:row>12</xdr:row>
      <xdr:rowOff>172509</xdr:rowOff>
    </xdr:to>
    <xdr:sp macro="" textlink="">
      <xdr:nvSpPr>
        <xdr:cNvPr id="10" name="テキスト 204">
          <a:extLst>
            <a:ext uri="{FF2B5EF4-FFF2-40B4-BE49-F238E27FC236}">
              <a16:creationId xmlns="" xmlns:a16="http://schemas.microsoft.com/office/drawing/2014/main" id="{00000000-0008-0000-0600-00000A000000}"/>
            </a:ext>
          </a:extLst>
        </xdr:cNvPr>
        <xdr:cNvSpPr txBox="1">
          <a:spLocks noChangeArrowheads="1"/>
        </xdr:cNvSpPr>
      </xdr:nvSpPr>
      <xdr:spPr bwMode="auto">
        <a:xfrm>
          <a:off x="2947147" y="3653118"/>
          <a:ext cx="145701" cy="172509"/>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HGSｺﾞｼｯｸM" panose="020B0600000000000000" pitchFamily="50" charset="-128"/>
              <a:ea typeface="HGSｺﾞｼｯｸM" panose="020B0600000000000000" pitchFamily="50" charset="-128"/>
            </a:rPr>
            <a:t>C</a:t>
          </a:r>
        </a:p>
      </xdr:txBody>
    </xdr:sp>
    <xdr:clientData/>
  </xdr:twoCellAnchor>
  <xdr:twoCellAnchor>
    <xdr:from>
      <xdr:col>7</xdr:col>
      <xdr:colOff>0</xdr:colOff>
      <xdr:row>8</xdr:row>
      <xdr:rowOff>0</xdr:rowOff>
    </xdr:from>
    <xdr:to>
      <xdr:col>7</xdr:col>
      <xdr:colOff>145701</xdr:colOff>
      <xdr:row>8</xdr:row>
      <xdr:rowOff>172509</xdr:rowOff>
    </xdr:to>
    <xdr:sp macro="" textlink="">
      <xdr:nvSpPr>
        <xdr:cNvPr id="11" name="テキスト 204">
          <a:extLst>
            <a:ext uri="{FF2B5EF4-FFF2-40B4-BE49-F238E27FC236}">
              <a16:creationId xmlns="" xmlns:a16="http://schemas.microsoft.com/office/drawing/2014/main" id="{00000000-0008-0000-0600-000009000000}"/>
            </a:ext>
          </a:extLst>
        </xdr:cNvPr>
        <xdr:cNvSpPr txBox="1">
          <a:spLocks noChangeArrowheads="1"/>
        </xdr:cNvSpPr>
      </xdr:nvSpPr>
      <xdr:spPr bwMode="auto">
        <a:xfrm>
          <a:off x="4157382" y="2218765"/>
          <a:ext cx="145701" cy="172509"/>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HGSｺﾞｼｯｸM" panose="020B0600000000000000" pitchFamily="50" charset="-128"/>
              <a:ea typeface="HGSｺﾞｼｯｸM" panose="020B0600000000000000" pitchFamily="50" charset="-128"/>
            </a:rPr>
            <a:t>C</a:t>
          </a:r>
        </a:p>
      </xdr:txBody>
    </xdr:sp>
    <xdr:clientData/>
  </xdr:twoCellAnchor>
  <xdr:twoCellAnchor>
    <xdr:from>
      <xdr:col>6</xdr:col>
      <xdr:colOff>0</xdr:colOff>
      <xdr:row>22</xdr:row>
      <xdr:rowOff>0</xdr:rowOff>
    </xdr:from>
    <xdr:to>
      <xdr:col>6</xdr:col>
      <xdr:colOff>145701</xdr:colOff>
      <xdr:row>22</xdr:row>
      <xdr:rowOff>172509</xdr:rowOff>
    </xdr:to>
    <xdr:sp macro="" textlink="">
      <xdr:nvSpPr>
        <xdr:cNvPr id="12" name="テキスト 204">
          <a:extLst>
            <a:ext uri="{FF2B5EF4-FFF2-40B4-BE49-F238E27FC236}">
              <a16:creationId xmlns="" xmlns:a16="http://schemas.microsoft.com/office/drawing/2014/main" id="{00000000-0008-0000-0600-000009000000}"/>
            </a:ext>
          </a:extLst>
        </xdr:cNvPr>
        <xdr:cNvSpPr txBox="1">
          <a:spLocks noChangeArrowheads="1"/>
        </xdr:cNvSpPr>
      </xdr:nvSpPr>
      <xdr:spPr bwMode="auto">
        <a:xfrm>
          <a:off x="3552265" y="4011706"/>
          <a:ext cx="145701" cy="172509"/>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HGSｺﾞｼｯｸM" panose="020B0600000000000000" pitchFamily="50" charset="-128"/>
              <a:ea typeface="HGSｺﾞｼｯｸM" panose="020B0600000000000000" pitchFamily="50" charset="-128"/>
            </a:rPr>
            <a:t>C</a:t>
          </a:r>
        </a:p>
      </xdr:txBody>
    </xdr:sp>
    <xdr:clientData/>
  </xdr:twoCellAnchor>
  <xdr:twoCellAnchor>
    <xdr:from>
      <xdr:col>8</xdr:col>
      <xdr:colOff>0</xdr:colOff>
      <xdr:row>20</xdr:row>
      <xdr:rowOff>0</xdr:rowOff>
    </xdr:from>
    <xdr:to>
      <xdr:col>8</xdr:col>
      <xdr:colOff>145701</xdr:colOff>
      <xdr:row>20</xdr:row>
      <xdr:rowOff>172509</xdr:rowOff>
    </xdr:to>
    <xdr:sp macro="" textlink="">
      <xdr:nvSpPr>
        <xdr:cNvPr id="13" name="テキスト 204">
          <a:extLst>
            <a:ext uri="{FF2B5EF4-FFF2-40B4-BE49-F238E27FC236}">
              <a16:creationId xmlns="" xmlns:a16="http://schemas.microsoft.com/office/drawing/2014/main" id="{00000000-0008-0000-0600-000009000000}"/>
            </a:ext>
          </a:extLst>
        </xdr:cNvPr>
        <xdr:cNvSpPr txBox="1">
          <a:spLocks noChangeArrowheads="1"/>
        </xdr:cNvSpPr>
      </xdr:nvSpPr>
      <xdr:spPr bwMode="auto">
        <a:xfrm>
          <a:off x="4762500" y="4011706"/>
          <a:ext cx="145701" cy="172509"/>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HGSｺﾞｼｯｸM" panose="020B0600000000000000" pitchFamily="50" charset="-128"/>
              <a:ea typeface="HGSｺﾞｼｯｸM" panose="020B0600000000000000" pitchFamily="50" charset="-128"/>
            </a:rPr>
            <a:t>C</a:t>
          </a:r>
        </a:p>
      </xdr:txBody>
    </xdr:sp>
    <xdr:clientData/>
  </xdr:twoCellAnchor>
  <xdr:oneCellAnchor>
    <xdr:from>
      <xdr:col>9</xdr:col>
      <xdr:colOff>126974</xdr:colOff>
      <xdr:row>8</xdr:row>
      <xdr:rowOff>44825</xdr:rowOff>
    </xdr:from>
    <xdr:ext cx="384785" cy="2096921"/>
    <xdr:sp macro="" textlink="">
      <xdr:nvSpPr>
        <xdr:cNvPr id="14" name="テキスト ボックス 13"/>
        <xdr:cNvSpPr txBox="1"/>
      </xdr:nvSpPr>
      <xdr:spPr>
        <a:xfrm>
          <a:off x="5494592" y="1905001"/>
          <a:ext cx="384785" cy="209692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vert="eaVert" wrap="none" rtlCol="0" anchor="t">
          <a:spAutoFit/>
        </a:bodyPr>
        <a:lstStyle/>
        <a:p>
          <a:r>
            <a:rPr kumimoji="1" lang="ja-JP" altLang="en-US" sz="1200">
              <a:latin typeface="HGS平成角ｺﾞｼｯｸ体W3" panose="020B0400000000000000" pitchFamily="50" charset="-128"/>
              <a:ea typeface="HGS平成角ｺﾞｼｯｸ体W3" panose="020B0400000000000000" pitchFamily="50" charset="-128"/>
            </a:rPr>
            <a:t>荒天のためＫＦＲ</a:t>
          </a:r>
          <a:r>
            <a:rPr kumimoji="1" lang="en-US" altLang="ja-JP" sz="1200">
              <a:latin typeface="HGS平成角ｺﾞｼｯｸ体W3" panose="020B0400000000000000" pitchFamily="50" charset="-128"/>
              <a:ea typeface="HGS平成角ｺﾞｼｯｸ体W3" panose="020B0400000000000000" pitchFamily="50" charset="-128"/>
            </a:rPr>
            <a:t>6</a:t>
          </a:r>
          <a:r>
            <a:rPr kumimoji="1" lang="ja-JP" altLang="en-US" sz="1200">
              <a:latin typeface="HGS平成角ｺﾞｼｯｸ体W3" panose="020B0400000000000000" pitchFamily="50" charset="-128"/>
              <a:ea typeface="HGS平成角ｺﾞｼｯｸ体W3" panose="020B0400000000000000" pitchFamily="50" charset="-128"/>
            </a:rPr>
            <a:t>月は中止</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xdr:col>
      <xdr:colOff>263525</xdr:colOff>
      <xdr:row>21</xdr:row>
      <xdr:rowOff>0</xdr:rowOff>
    </xdr:from>
    <xdr:to>
      <xdr:col>3</xdr:col>
      <xdr:colOff>371</xdr:colOff>
      <xdr:row>21</xdr:row>
      <xdr:rowOff>0</xdr:rowOff>
    </xdr:to>
    <xdr:sp macro="" textlink="">
      <xdr:nvSpPr>
        <xdr:cNvPr id="2" name="Text Box 1">
          <a:extLst>
            <a:ext uri="{FF2B5EF4-FFF2-40B4-BE49-F238E27FC236}">
              <a16:creationId xmlns="" xmlns:a16="http://schemas.microsoft.com/office/drawing/2014/main" id="{00000000-0008-0000-0700-000002000000}"/>
            </a:ext>
          </a:extLst>
        </xdr:cNvPr>
        <xdr:cNvSpPr txBox="1">
          <a:spLocks noChangeArrowheads="1"/>
        </xdr:cNvSpPr>
      </xdr:nvSpPr>
      <xdr:spPr bwMode="auto">
        <a:xfrm>
          <a:off x="914400" y="5638800"/>
          <a:ext cx="361950" cy="0"/>
        </a:xfrm>
        <a:prstGeom prst="rect">
          <a:avLst/>
        </a:prstGeom>
        <a:solidFill>
          <a:srgbClr val="FFFFFF"/>
        </a:solidFill>
        <a:ln w="9525" cap="rnd">
          <a:noFill/>
          <a:prstDash val="sysDot"/>
          <a:miter lim="800000"/>
          <a:headEnd/>
          <a:tailEnd/>
        </a:ln>
      </xdr:spPr>
      <xdr:txBody>
        <a:bodyPr vertOverflow="clip" wrap="square" lIns="72000" tIns="36000" rIns="0" bIns="36000" anchor="t" upright="1"/>
        <a:lstStyle/>
        <a:p>
          <a:pPr algn="l" rtl="0">
            <a:defRPr sz="1000"/>
          </a:pPr>
          <a:r>
            <a:rPr lang="ja-JP" altLang="en-US" sz="1100" b="0" i="0" u="none" strike="noStrike" baseline="0">
              <a:solidFill>
                <a:srgbClr val="000000"/>
              </a:solidFill>
              <a:latin typeface="ＭＳ 明朝"/>
              <a:ea typeface="ＭＳ 明朝"/>
            </a:rPr>
            <a:t>賞　品</a:t>
          </a:r>
        </a:p>
      </xdr:txBody>
    </xdr:sp>
    <xdr:clientData/>
  </xdr:twoCellAnchor>
  <xdr:twoCellAnchor>
    <xdr:from>
      <xdr:col>12</xdr:col>
      <xdr:colOff>0</xdr:colOff>
      <xdr:row>5</xdr:row>
      <xdr:rowOff>0</xdr:rowOff>
    </xdr:from>
    <xdr:to>
      <xdr:col>12</xdr:col>
      <xdr:colOff>0</xdr:colOff>
      <xdr:row>6</xdr:row>
      <xdr:rowOff>28575</xdr:rowOff>
    </xdr:to>
    <xdr:sp macro="" textlink="">
      <xdr:nvSpPr>
        <xdr:cNvPr id="3" name="テキスト 204">
          <a:extLst>
            <a:ext uri="{FF2B5EF4-FFF2-40B4-BE49-F238E27FC236}">
              <a16:creationId xmlns="" xmlns:a16="http://schemas.microsoft.com/office/drawing/2014/main" id="{00000000-0008-0000-0700-000003000000}"/>
            </a:ext>
          </a:extLst>
        </xdr:cNvPr>
        <xdr:cNvSpPr txBox="1">
          <a:spLocks noChangeArrowheads="1"/>
        </xdr:cNvSpPr>
      </xdr:nvSpPr>
      <xdr:spPr bwMode="auto">
        <a:xfrm>
          <a:off x="7019925" y="1552575"/>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7</xdr:row>
      <xdr:rowOff>0</xdr:rowOff>
    </xdr:from>
    <xdr:to>
      <xdr:col>12</xdr:col>
      <xdr:colOff>0</xdr:colOff>
      <xdr:row>8</xdr:row>
      <xdr:rowOff>0</xdr:rowOff>
    </xdr:to>
    <xdr:sp macro="" textlink="">
      <xdr:nvSpPr>
        <xdr:cNvPr id="4" name="テキスト 204">
          <a:extLst>
            <a:ext uri="{FF2B5EF4-FFF2-40B4-BE49-F238E27FC236}">
              <a16:creationId xmlns="" xmlns:a16="http://schemas.microsoft.com/office/drawing/2014/main" id="{00000000-0008-0000-0700-000004000000}"/>
            </a:ext>
          </a:extLst>
        </xdr:cNvPr>
        <xdr:cNvSpPr txBox="1">
          <a:spLocks noChangeArrowheads="1"/>
        </xdr:cNvSpPr>
      </xdr:nvSpPr>
      <xdr:spPr bwMode="auto">
        <a:xfrm>
          <a:off x="7019925" y="2047875"/>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17</xdr:row>
      <xdr:rowOff>0</xdr:rowOff>
    </xdr:from>
    <xdr:to>
      <xdr:col>12</xdr:col>
      <xdr:colOff>0</xdr:colOff>
      <xdr:row>17</xdr:row>
      <xdr:rowOff>0</xdr:rowOff>
    </xdr:to>
    <xdr:sp macro="" textlink="">
      <xdr:nvSpPr>
        <xdr:cNvPr id="5" name="テキスト 204">
          <a:extLst>
            <a:ext uri="{FF2B5EF4-FFF2-40B4-BE49-F238E27FC236}">
              <a16:creationId xmlns="" xmlns:a16="http://schemas.microsoft.com/office/drawing/2014/main" id="{00000000-0008-0000-0700-000005000000}"/>
            </a:ext>
          </a:extLst>
        </xdr:cNvPr>
        <xdr:cNvSpPr txBox="1">
          <a:spLocks noChangeArrowheads="1"/>
        </xdr:cNvSpPr>
      </xdr:nvSpPr>
      <xdr:spPr bwMode="auto">
        <a:xfrm>
          <a:off x="7019925" y="4333875"/>
          <a:ext cx="0" cy="0"/>
        </a:xfrm>
        <a:prstGeom prst="rect">
          <a:avLst/>
        </a:prstGeom>
        <a:noFill/>
        <a:ln w="9525">
          <a:no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17</xdr:row>
      <xdr:rowOff>0</xdr:rowOff>
    </xdr:from>
    <xdr:to>
      <xdr:col>12</xdr:col>
      <xdr:colOff>0</xdr:colOff>
      <xdr:row>17</xdr:row>
      <xdr:rowOff>0</xdr:rowOff>
    </xdr:to>
    <xdr:sp macro="" textlink="">
      <xdr:nvSpPr>
        <xdr:cNvPr id="6" name="テキスト 204">
          <a:extLst>
            <a:ext uri="{FF2B5EF4-FFF2-40B4-BE49-F238E27FC236}">
              <a16:creationId xmlns="" xmlns:a16="http://schemas.microsoft.com/office/drawing/2014/main" id="{00000000-0008-0000-0700-000006000000}"/>
            </a:ext>
          </a:extLst>
        </xdr:cNvPr>
        <xdr:cNvSpPr txBox="1">
          <a:spLocks noChangeArrowheads="1"/>
        </xdr:cNvSpPr>
      </xdr:nvSpPr>
      <xdr:spPr bwMode="auto">
        <a:xfrm>
          <a:off x="7019925" y="4333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9</xdr:row>
      <xdr:rowOff>0</xdr:rowOff>
    </xdr:from>
    <xdr:to>
      <xdr:col>12</xdr:col>
      <xdr:colOff>0</xdr:colOff>
      <xdr:row>10</xdr:row>
      <xdr:rowOff>0</xdr:rowOff>
    </xdr:to>
    <xdr:sp macro="" textlink="">
      <xdr:nvSpPr>
        <xdr:cNvPr id="7" name="テキスト 204">
          <a:extLst>
            <a:ext uri="{FF2B5EF4-FFF2-40B4-BE49-F238E27FC236}">
              <a16:creationId xmlns="" xmlns:a16="http://schemas.microsoft.com/office/drawing/2014/main" id="{00000000-0008-0000-0700-000007000000}"/>
            </a:ext>
          </a:extLst>
        </xdr:cNvPr>
        <xdr:cNvSpPr txBox="1">
          <a:spLocks noChangeArrowheads="1"/>
        </xdr:cNvSpPr>
      </xdr:nvSpPr>
      <xdr:spPr bwMode="auto">
        <a:xfrm>
          <a:off x="7019925" y="2505075"/>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17</xdr:row>
      <xdr:rowOff>0</xdr:rowOff>
    </xdr:from>
    <xdr:to>
      <xdr:col>12</xdr:col>
      <xdr:colOff>0</xdr:colOff>
      <xdr:row>17</xdr:row>
      <xdr:rowOff>0</xdr:rowOff>
    </xdr:to>
    <xdr:sp macro="" textlink="">
      <xdr:nvSpPr>
        <xdr:cNvPr id="8" name="テキスト 204">
          <a:extLst>
            <a:ext uri="{FF2B5EF4-FFF2-40B4-BE49-F238E27FC236}">
              <a16:creationId xmlns="" xmlns:a16="http://schemas.microsoft.com/office/drawing/2014/main" id="{00000000-0008-0000-0700-000008000000}"/>
            </a:ext>
          </a:extLst>
        </xdr:cNvPr>
        <xdr:cNvSpPr txBox="1">
          <a:spLocks noChangeArrowheads="1"/>
        </xdr:cNvSpPr>
      </xdr:nvSpPr>
      <xdr:spPr bwMode="auto">
        <a:xfrm>
          <a:off x="7019925" y="4333875"/>
          <a:ext cx="0" cy="0"/>
        </a:xfrm>
        <a:prstGeom prst="rect">
          <a:avLst/>
        </a:prstGeom>
        <a:noFill/>
        <a:ln w="9525">
          <a:no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5</xdr:row>
      <xdr:rowOff>155575</xdr:rowOff>
    </xdr:from>
    <xdr:to>
      <xdr:col>12</xdr:col>
      <xdr:colOff>0</xdr:colOff>
      <xdr:row>7</xdr:row>
      <xdr:rowOff>19108</xdr:rowOff>
    </xdr:to>
    <xdr:sp macro="" textlink="">
      <xdr:nvSpPr>
        <xdr:cNvPr id="9" name="テキスト 204">
          <a:extLst>
            <a:ext uri="{FF2B5EF4-FFF2-40B4-BE49-F238E27FC236}">
              <a16:creationId xmlns="" xmlns:a16="http://schemas.microsoft.com/office/drawing/2014/main" id="{00000000-0008-0000-0700-000009000000}"/>
            </a:ext>
          </a:extLst>
        </xdr:cNvPr>
        <xdr:cNvSpPr txBox="1">
          <a:spLocks noChangeArrowheads="1"/>
        </xdr:cNvSpPr>
      </xdr:nvSpPr>
      <xdr:spPr bwMode="auto">
        <a:xfrm>
          <a:off x="7019925" y="1714500"/>
          <a:ext cx="0" cy="3524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4</xdr:col>
      <xdr:colOff>9525</xdr:colOff>
      <xdr:row>11</xdr:row>
      <xdr:rowOff>9525</xdr:rowOff>
    </xdr:from>
    <xdr:to>
      <xdr:col>4</xdr:col>
      <xdr:colOff>161925</xdr:colOff>
      <xdr:row>12</xdr:row>
      <xdr:rowOff>0</xdr:rowOff>
    </xdr:to>
    <xdr:sp macro="" textlink="">
      <xdr:nvSpPr>
        <xdr:cNvPr id="41062" name="テキスト 204">
          <a:extLst>
            <a:ext uri="{FF2B5EF4-FFF2-40B4-BE49-F238E27FC236}">
              <a16:creationId xmlns="" xmlns:a16="http://schemas.microsoft.com/office/drawing/2014/main" id="{00000000-0008-0000-0700-000066A00000}"/>
            </a:ext>
          </a:extLst>
        </xdr:cNvPr>
        <xdr:cNvSpPr txBox="1">
          <a:spLocks noChangeArrowheads="1"/>
        </xdr:cNvSpPr>
      </xdr:nvSpPr>
      <xdr:spPr bwMode="auto">
        <a:xfrm>
          <a:off x="2114550" y="2971800"/>
          <a:ext cx="1524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0</xdr:colOff>
      <xdr:row>17</xdr:row>
      <xdr:rowOff>0</xdr:rowOff>
    </xdr:from>
    <xdr:to>
      <xdr:col>4</xdr:col>
      <xdr:colOff>152400</xdr:colOff>
      <xdr:row>17</xdr:row>
      <xdr:rowOff>0</xdr:rowOff>
    </xdr:to>
    <xdr:sp macro="" textlink="">
      <xdr:nvSpPr>
        <xdr:cNvPr id="41063" name="テキスト 204">
          <a:extLst>
            <a:ext uri="{FF2B5EF4-FFF2-40B4-BE49-F238E27FC236}">
              <a16:creationId xmlns="" xmlns:a16="http://schemas.microsoft.com/office/drawing/2014/main" id="{00000000-0008-0000-0700-000067A00000}"/>
            </a:ext>
          </a:extLst>
        </xdr:cNvPr>
        <xdr:cNvSpPr txBox="1">
          <a:spLocks noChangeArrowheads="1"/>
        </xdr:cNvSpPr>
      </xdr:nvSpPr>
      <xdr:spPr bwMode="auto">
        <a:xfrm>
          <a:off x="2105025" y="4333875"/>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19050</xdr:colOff>
      <xdr:row>17</xdr:row>
      <xdr:rowOff>0</xdr:rowOff>
    </xdr:from>
    <xdr:to>
      <xdr:col>8</xdr:col>
      <xdr:colOff>164751</xdr:colOff>
      <xdr:row>17</xdr:row>
      <xdr:rowOff>0</xdr:rowOff>
    </xdr:to>
    <xdr:sp macro="" textlink="">
      <xdr:nvSpPr>
        <xdr:cNvPr id="12" name="テキスト 204">
          <a:extLst>
            <a:ext uri="{FF2B5EF4-FFF2-40B4-BE49-F238E27FC236}">
              <a16:creationId xmlns="" xmlns:a16="http://schemas.microsoft.com/office/drawing/2014/main" id="{00000000-0008-0000-0700-00000C000000}"/>
            </a:ext>
          </a:extLst>
        </xdr:cNvPr>
        <xdr:cNvSpPr txBox="1">
          <a:spLocks noChangeArrowheads="1"/>
        </xdr:cNvSpPr>
      </xdr:nvSpPr>
      <xdr:spPr bwMode="auto">
        <a:xfrm>
          <a:off x="4486275" y="4333875"/>
          <a:ext cx="152400" cy="0"/>
        </a:xfrm>
        <a:prstGeom prst="rect">
          <a:avLst/>
        </a:prstGeom>
        <a:noFill/>
        <a:ln w="9525">
          <a:noFill/>
          <a:miter lim="800000"/>
          <a:headEnd/>
          <a:tailEnd/>
        </a:ln>
      </xdr:spPr>
      <xdr:txBody>
        <a:bodyPr vertOverflow="clip" wrap="square" lIns="27432" tIns="18288" rIns="0" bIns="0" anchor="t" upright="1"/>
        <a:lstStyle/>
        <a:p>
          <a:pPr algn="l" rtl="0">
            <a:defRPr sz="1000"/>
          </a:pPr>
          <a:endParaRPr lang="en-US" altLang="ja-JP" sz="1100" b="0" i="0" u="none" strike="noStrike" baseline="0">
            <a:solidFill>
              <a:srgbClr val="000000"/>
            </a:solidFill>
            <a:latin typeface="ＭＳ 明朝"/>
            <a:ea typeface="ＭＳ 明朝"/>
          </a:endParaRPr>
        </a:p>
        <a:p>
          <a:pPr algn="l" rtl="0">
            <a:defRPr sz="1000"/>
          </a:pPr>
          <a:endParaRPr lang="en-US" altLang="ja-JP" sz="1100" b="0" i="0" u="none" strike="noStrike" baseline="0">
            <a:solidFill>
              <a:srgbClr val="000000"/>
            </a:solidFill>
            <a:latin typeface="ＭＳ 明朝"/>
            <a:ea typeface="ＭＳ 明朝"/>
          </a:endParaRPr>
        </a:p>
        <a:p>
          <a:pPr algn="l" rtl="0">
            <a:defRPr sz="1000"/>
          </a:pPr>
          <a:r>
            <a:rPr lang="en-US" altLang="ja-JP" sz="1100" b="0" i="0" u="none" strike="noStrike" baseline="0">
              <a:solidFill>
                <a:srgbClr val="000000"/>
              </a:solidFill>
              <a:latin typeface="ＭＳ 明朝"/>
              <a:ea typeface="ＭＳ 明朝"/>
            </a:rPr>
            <a:t>B</a:t>
          </a:r>
        </a:p>
        <a:p>
          <a:pPr algn="l" rtl="0">
            <a:defRPr sz="1000"/>
          </a:pPr>
          <a:r>
            <a:rPr lang="en-US" altLang="ja-JP" sz="1100" b="0" i="0" u="none" strike="noStrike" baseline="0">
              <a:solidFill>
                <a:srgbClr val="000000"/>
              </a:solidFill>
              <a:latin typeface="ＭＳ 明朝"/>
              <a:ea typeface="ＭＳ 明朝"/>
            </a:rPr>
            <a:t>B</a:t>
          </a:r>
        </a:p>
      </xdr:txBody>
    </xdr:sp>
    <xdr:clientData/>
  </xdr:twoCellAnchor>
  <xdr:twoCellAnchor>
    <xdr:from>
      <xdr:col>12</xdr:col>
      <xdr:colOff>0</xdr:colOff>
      <xdr:row>17</xdr:row>
      <xdr:rowOff>0</xdr:rowOff>
    </xdr:from>
    <xdr:to>
      <xdr:col>12</xdr:col>
      <xdr:colOff>0</xdr:colOff>
      <xdr:row>17</xdr:row>
      <xdr:rowOff>0</xdr:rowOff>
    </xdr:to>
    <xdr:sp macro="" textlink="">
      <xdr:nvSpPr>
        <xdr:cNvPr id="13" name="テキスト 204">
          <a:extLst>
            <a:ext uri="{FF2B5EF4-FFF2-40B4-BE49-F238E27FC236}">
              <a16:creationId xmlns="" xmlns:a16="http://schemas.microsoft.com/office/drawing/2014/main" id="{00000000-0008-0000-0700-00000D000000}"/>
            </a:ext>
          </a:extLst>
        </xdr:cNvPr>
        <xdr:cNvSpPr txBox="1">
          <a:spLocks noChangeArrowheads="1"/>
        </xdr:cNvSpPr>
      </xdr:nvSpPr>
      <xdr:spPr bwMode="auto">
        <a:xfrm>
          <a:off x="7019925" y="4333875"/>
          <a:ext cx="0" cy="0"/>
        </a:xfrm>
        <a:prstGeom prst="rect">
          <a:avLst/>
        </a:prstGeom>
        <a:noFill/>
        <a:ln w="9525">
          <a:noFill/>
          <a:miter lim="800000"/>
          <a:headEnd/>
          <a:tailEnd/>
        </a:ln>
      </xdr:spPr>
      <xdr:txBody>
        <a:bodyPr vertOverflow="clip" wrap="square" lIns="27432" tIns="18288" rIns="0" bIns="0" anchor="t" upright="1"/>
        <a:lstStyle/>
        <a:p>
          <a:pPr algn="l" rtl="0">
            <a:defRPr sz="1000"/>
          </a:pPr>
          <a:endParaRPr lang="en-US" altLang="ja-JP" sz="1100" b="0" i="0" u="none" strike="noStrike" baseline="0">
            <a:solidFill>
              <a:srgbClr val="000000"/>
            </a:solidFill>
            <a:latin typeface="ＭＳ 明朝"/>
            <a:ea typeface="ＭＳ 明朝"/>
          </a:endParaRPr>
        </a:p>
        <a:p>
          <a:pPr algn="l" rtl="0">
            <a:defRPr sz="1000"/>
          </a:pPr>
          <a:endParaRPr lang="en-US" altLang="ja-JP" sz="1100" b="0" i="0" u="none" strike="noStrike" baseline="0">
            <a:solidFill>
              <a:srgbClr val="000000"/>
            </a:solidFill>
            <a:latin typeface="ＭＳ 明朝"/>
            <a:ea typeface="ＭＳ 明朝"/>
          </a:endParaRPr>
        </a:p>
        <a:p>
          <a:pPr algn="l" rtl="0">
            <a:defRPr sz="1000"/>
          </a:pPr>
          <a:r>
            <a:rPr lang="en-US" altLang="ja-JP" sz="1100" b="0" i="0" u="none" strike="noStrike" baseline="0">
              <a:solidFill>
                <a:srgbClr val="000000"/>
              </a:solidFill>
              <a:latin typeface="ＭＳ 明朝"/>
              <a:ea typeface="ＭＳ 明朝"/>
            </a:rPr>
            <a:t>B</a:t>
          </a:r>
        </a:p>
        <a:p>
          <a:pPr algn="l" rtl="0">
            <a:defRPr sz="1000"/>
          </a:pPr>
          <a:r>
            <a:rPr lang="en-US" altLang="ja-JP" sz="1100" b="0" i="0" u="none" strike="noStrike" baseline="0">
              <a:solidFill>
                <a:srgbClr val="000000"/>
              </a:solidFill>
              <a:latin typeface="ＭＳ 明朝"/>
              <a:ea typeface="ＭＳ 明朝"/>
            </a:rPr>
            <a:t>B</a:t>
          </a:r>
        </a:p>
      </xdr:txBody>
    </xdr:sp>
    <xdr:clientData/>
  </xdr:twoCellAnchor>
  <xdr:twoCellAnchor>
    <xdr:from>
      <xdr:col>2</xdr:col>
      <xdr:colOff>0</xdr:colOff>
      <xdr:row>32</xdr:row>
      <xdr:rowOff>0</xdr:rowOff>
    </xdr:from>
    <xdr:to>
      <xdr:col>2</xdr:col>
      <xdr:colOff>0</xdr:colOff>
      <xdr:row>32</xdr:row>
      <xdr:rowOff>0</xdr:rowOff>
    </xdr:to>
    <xdr:sp macro="" textlink="">
      <xdr:nvSpPr>
        <xdr:cNvPr id="19" name="テキスト 204">
          <a:extLst>
            <a:ext uri="{FF2B5EF4-FFF2-40B4-BE49-F238E27FC236}">
              <a16:creationId xmlns="" xmlns:a16="http://schemas.microsoft.com/office/drawing/2014/main" id="{00000000-0008-0000-0700-000013000000}"/>
            </a:ext>
          </a:extLst>
        </xdr:cNvPr>
        <xdr:cNvSpPr txBox="1">
          <a:spLocks noChangeArrowheads="1"/>
        </xdr:cNvSpPr>
      </xdr:nvSpPr>
      <xdr:spPr bwMode="auto">
        <a:xfrm>
          <a:off x="638175" y="81057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2</xdr:col>
      <xdr:colOff>0</xdr:colOff>
      <xdr:row>32</xdr:row>
      <xdr:rowOff>0</xdr:rowOff>
    </xdr:from>
    <xdr:to>
      <xdr:col>2</xdr:col>
      <xdr:colOff>0</xdr:colOff>
      <xdr:row>32</xdr:row>
      <xdr:rowOff>0</xdr:rowOff>
    </xdr:to>
    <xdr:sp macro="" textlink="">
      <xdr:nvSpPr>
        <xdr:cNvPr id="20" name="テキスト 204">
          <a:extLst>
            <a:ext uri="{FF2B5EF4-FFF2-40B4-BE49-F238E27FC236}">
              <a16:creationId xmlns="" xmlns:a16="http://schemas.microsoft.com/office/drawing/2014/main" id="{00000000-0008-0000-0700-000014000000}"/>
            </a:ext>
          </a:extLst>
        </xdr:cNvPr>
        <xdr:cNvSpPr txBox="1">
          <a:spLocks noChangeArrowheads="1"/>
        </xdr:cNvSpPr>
      </xdr:nvSpPr>
      <xdr:spPr bwMode="auto">
        <a:xfrm>
          <a:off x="638175" y="81057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2</xdr:col>
      <xdr:colOff>0</xdr:colOff>
      <xdr:row>32</xdr:row>
      <xdr:rowOff>0</xdr:rowOff>
    </xdr:from>
    <xdr:to>
      <xdr:col>2</xdr:col>
      <xdr:colOff>0</xdr:colOff>
      <xdr:row>32</xdr:row>
      <xdr:rowOff>0</xdr:rowOff>
    </xdr:to>
    <xdr:sp macro="" textlink="">
      <xdr:nvSpPr>
        <xdr:cNvPr id="21" name="テキスト 204">
          <a:extLst>
            <a:ext uri="{FF2B5EF4-FFF2-40B4-BE49-F238E27FC236}">
              <a16:creationId xmlns="" xmlns:a16="http://schemas.microsoft.com/office/drawing/2014/main" id="{00000000-0008-0000-0700-000015000000}"/>
            </a:ext>
          </a:extLst>
        </xdr:cNvPr>
        <xdr:cNvSpPr txBox="1">
          <a:spLocks noChangeArrowheads="1"/>
        </xdr:cNvSpPr>
      </xdr:nvSpPr>
      <xdr:spPr bwMode="auto">
        <a:xfrm>
          <a:off x="638175" y="81057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2</xdr:col>
      <xdr:colOff>0</xdr:colOff>
      <xdr:row>32</xdr:row>
      <xdr:rowOff>0</xdr:rowOff>
    </xdr:from>
    <xdr:to>
      <xdr:col>2</xdr:col>
      <xdr:colOff>0</xdr:colOff>
      <xdr:row>32</xdr:row>
      <xdr:rowOff>0</xdr:rowOff>
    </xdr:to>
    <xdr:sp macro="" textlink="">
      <xdr:nvSpPr>
        <xdr:cNvPr id="22" name="テキスト 204">
          <a:extLst>
            <a:ext uri="{FF2B5EF4-FFF2-40B4-BE49-F238E27FC236}">
              <a16:creationId xmlns="" xmlns:a16="http://schemas.microsoft.com/office/drawing/2014/main" id="{00000000-0008-0000-0700-000016000000}"/>
            </a:ext>
          </a:extLst>
        </xdr:cNvPr>
        <xdr:cNvSpPr txBox="1">
          <a:spLocks noChangeArrowheads="1"/>
        </xdr:cNvSpPr>
      </xdr:nvSpPr>
      <xdr:spPr bwMode="auto">
        <a:xfrm>
          <a:off x="638175" y="81057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20</xdr:row>
      <xdr:rowOff>0</xdr:rowOff>
    </xdr:from>
    <xdr:to>
      <xdr:col>10</xdr:col>
      <xdr:colOff>0</xdr:colOff>
      <xdr:row>21</xdr:row>
      <xdr:rowOff>28575</xdr:rowOff>
    </xdr:to>
    <xdr:sp macro="" textlink="">
      <xdr:nvSpPr>
        <xdr:cNvPr id="23" name="テキスト 204">
          <a:extLst>
            <a:ext uri="{FF2B5EF4-FFF2-40B4-BE49-F238E27FC236}">
              <a16:creationId xmlns="" xmlns:a16="http://schemas.microsoft.com/office/drawing/2014/main" id="{00000000-0008-0000-0700-000017000000}"/>
            </a:ext>
          </a:extLst>
        </xdr:cNvPr>
        <xdr:cNvSpPr txBox="1">
          <a:spLocks noChangeArrowheads="1"/>
        </xdr:cNvSpPr>
      </xdr:nvSpPr>
      <xdr:spPr bwMode="auto">
        <a:xfrm>
          <a:off x="5743575" y="5372100"/>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22</xdr:row>
      <xdr:rowOff>0</xdr:rowOff>
    </xdr:from>
    <xdr:to>
      <xdr:col>10</xdr:col>
      <xdr:colOff>0</xdr:colOff>
      <xdr:row>23</xdr:row>
      <xdr:rowOff>0</xdr:rowOff>
    </xdr:to>
    <xdr:sp macro="" textlink="">
      <xdr:nvSpPr>
        <xdr:cNvPr id="24" name="テキスト 204">
          <a:extLst>
            <a:ext uri="{FF2B5EF4-FFF2-40B4-BE49-F238E27FC236}">
              <a16:creationId xmlns="" xmlns:a16="http://schemas.microsoft.com/office/drawing/2014/main" id="{00000000-0008-0000-0700-000018000000}"/>
            </a:ext>
          </a:extLst>
        </xdr:cNvPr>
        <xdr:cNvSpPr txBox="1">
          <a:spLocks noChangeArrowheads="1"/>
        </xdr:cNvSpPr>
      </xdr:nvSpPr>
      <xdr:spPr bwMode="auto">
        <a:xfrm>
          <a:off x="5743575" y="586740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24</xdr:row>
      <xdr:rowOff>0</xdr:rowOff>
    </xdr:from>
    <xdr:to>
      <xdr:col>10</xdr:col>
      <xdr:colOff>0</xdr:colOff>
      <xdr:row>25</xdr:row>
      <xdr:rowOff>0</xdr:rowOff>
    </xdr:to>
    <xdr:sp macro="" textlink="">
      <xdr:nvSpPr>
        <xdr:cNvPr id="25" name="テキスト 204">
          <a:extLst>
            <a:ext uri="{FF2B5EF4-FFF2-40B4-BE49-F238E27FC236}">
              <a16:creationId xmlns="" xmlns:a16="http://schemas.microsoft.com/office/drawing/2014/main" id="{00000000-0008-0000-0700-000019000000}"/>
            </a:ext>
          </a:extLst>
        </xdr:cNvPr>
        <xdr:cNvSpPr txBox="1">
          <a:spLocks noChangeArrowheads="1"/>
        </xdr:cNvSpPr>
      </xdr:nvSpPr>
      <xdr:spPr bwMode="auto">
        <a:xfrm>
          <a:off x="5743575" y="632460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20</xdr:row>
      <xdr:rowOff>155575</xdr:rowOff>
    </xdr:from>
    <xdr:to>
      <xdr:col>10</xdr:col>
      <xdr:colOff>0</xdr:colOff>
      <xdr:row>22</xdr:row>
      <xdr:rowOff>19108</xdr:rowOff>
    </xdr:to>
    <xdr:sp macro="" textlink="">
      <xdr:nvSpPr>
        <xdr:cNvPr id="26" name="テキスト 204">
          <a:extLst>
            <a:ext uri="{FF2B5EF4-FFF2-40B4-BE49-F238E27FC236}">
              <a16:creationId xmlns="" xmlns:a16="http://schemas.microsoft.com/office/drawing/2014/main" id="{00000000-0008-0000-0700-00001A000000}"/>
            </a:ext>
          </a:extLst>
        </xdr:cNvPr>
        <xdr:cNvSpPr txBox="1">
          <a:spLocks noChangeArrowheads="1"/>
        </xdr:cNvSpPr>
      </xdr:nvSpPr>
      <xdr:spPr bwMode="auto">
        <a:xfrm>
          <a:off x="5743575" y="5534025"/>
          <a:ext cx="0" cy="3524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20</xdr:row>
      <xdr:rowOff>0</xdr:rowOff>
    </xdr:from>
    <xdr:to>
      <xdr:col>12</xdr:col>
      <xdr:colOff>0</xdr:colOff>
      <xdr:row>21</xdr:row>
      <xdr:rowOff>28575</xdr:rowOff>
    </xdr:to>
    <xdr:sp macro="" textlink="">
      <xdr:nvSpPr>
        <xdr:cNvPr id="27" name="テキスト 204">
          <a:extLst>
            <a:ext uri="{FF2B5EF4-FFF2-40B4-BE49-F238E27FC236}">
              <a16:creationId xmlns="" xmlns:a16="http://schemas.microsoft.com/office/drawing/2014/main" id="{00000000-0008-0000-0700-00001B000000}"/>
            </a:ext>
          </a:extLst>
        </xdr:cNvPr>
        <xdr:cNvSpPr txBox="1">
          <a:spLocks noChangeArrowheads="1"/>
        </xdr:cNvSpPr>
      </xdr:nvSpPr>
      <xdr:spPr bwMode="auto">
        <a:xfrm>
          <a:off x="7019925" y="5372100"/>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5</xdr:row>
      <xdr:rowOff>0</xdr:rowOff>
    </xdr:from>
    <xdr:to>
      <xdr:col>12</xdr:col>
      <xdr:colOff>0</xdr:colOff>
      <xdr:row>6</xdr:row>
      <xdr:rowOff>28575</xdr:rowOff>
    </xdr:to>
    <xdr:sp macro="" textlink="">
      <xdr:nvSpPr>
        <xdr:cNvPr id="34" name="テキスト 204">
          <a:extLst>
            <a:ext uri="{FF2B5EF4-FFF2-40B4-BE49-F238E27FC236}">
              <a16:creationId xmlns="" xmlns:a16="http://schemas.microsoft.com/office/drawing/2014/main" id="{00000000-0008-0000-0700-000022000000}"/>
            </a:ext>
          </a:extLst>
        </xdr:cNvPr>
        <xdr:cNvSpPr txBox="1">
          <a:spLocks noChangeArrowheads="1"/>
        </xdr:cNvSpPr>
      </xdr:nvSpPr>
      <xdr:spPr bwMode="auto">
        <a:xfrm>
          <a:off x="7019925" y="1552575"/>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7</xdr:row>
      <xdr:rowOff>0</xdr:rowOff>
    </xdr:from>
    <xdr:to>
      <xdr:col>12</xdr:col>
      <xdr:colOff>0</xdr:colOff>
      <xdr:row>8</xdr:row>
      <xdr:rowOff>0</xdr:rowOff>
    </xdr:to>
    <xdr:sp macro="" textlink="">
      <xdr:nvSpPr>
        <xdr:cNvPr id="35" name="テキスト 204">
          <a:extLst>
            <a:ext uri="{FF2B5EF4-FFF2-40B4-BE49-F238E27FC236}">
              <a16:creationId xmlns="" xmlns:a16="http://schemas.microsoft.com/office/drawing/2014/main" id="{00000000-0008-0000-0700-000023000000}"/>
            </a:ext>
          </a:extLst>
        </xdr:cNvPr>
        <xdr:cNvSpPr txBox="1">
          <a:spLocks noChangeArrowheads="1"/>
        </xdr:cNvSpPr>
      </xdr:nvSpPr>
      <xdr:spPr bwMode="auto">
        <a:xfrm>
          <a:off x="7019925" y="2047875"/>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5</xdr:row>
      <xdr:rowOff>155575</xdr:rowOff>
    </xdr:from>
    <xdr:to>
      <xdr:col>12</xdr:col>
      <xdr:colOff>0</xdr:colOff>
      <xdr:row>7</xdr:row>
      <xdr:rowOff>19108</xdr:rowOff>
    </xdr:to>
    <xdr:sp macro="" textlink="">
      <xdr:nvSpPr>
        <xdr:cNvPr id="36" name="テキスト 204">
          <a:extLst>
            <a:ext uri="{FF2B5EF4-FFF2-40B4-BE49-F238E27FC236}">
              <a16:creationId xmlns="" xmlns:a16="http://schemas.microsoft.com/office/drawing/2014/main" id="{00000000-0008-0000-0700-000024000000}"/>
            </a:ext>
          </a:extLst>
        </xdr:cNvPr>
        <xdr:cNvSpPr txBox="1">
          <a:spLocks noChangeArrowheads="1"/>
        </xdr:cNvSpPr>
      </xdr:nvSpPr>
      <xdr:spPr bwMode="auto">
        <a:xfrm>
          <a:off x="7019925" y="1714500"/>
          <a:ext cx="0" cy="3524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20</xdr:row>
      <xdr:rowOff>0</xdr:rowOff>
    </xdr:from>
    <xdr:to>
      <xdr:col>10</xdr:col>
      <xdr:colOff>0</xdr:colOff>
      <xdr:row>21</xdr:row>
      <xdr:rowOff>28575</xdr:rowOff>
    </xdr:to>
    <xdr:sp macro="" textlink="">
      <xdr:nvSpPr>
        <xdr:cNvPr id="33" name="テキスト 204">
          <a:extLst>
            <a:ext uri="{FF2B5EF4-FFF2-40B4-BE49-F238E27FC236}">
              <a16:creationId xmlns="" xmlns:a16="http://schemas.microsoft.com/office/drawing/2014/main" id="{00000000-0008-0000-0700-000021000000}"/>
            </a:ext>
          </a:extLst>
        </xdr:cNvPr>
        <xdr:cNvSpPr txBox="1">
          <a:spLocks noChangeArrowheads="1"/>
        </xdr:cNvSpPr>
      </xdr:nvSpPr>
      <xdr:spPr bwMode="auto">
        <a:xfrm>
          <a:off x="5934075" y="5372100"/>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22</xdr:row>
      <xdr:rowOff>0</xdr:rowOff>
    </xdr:from>
    <xdr:to>
      <xdr:col>10</xdr:col>
      <xdr:colOff>0</xdr:colOff>
      <xdr:row>23</xdr:row>
      <xdr:rowOff>0</xdr:rowOff>
    </xdr:to>
    <xdr:sp macro="" textlink="">
      <xdr:nvSpPr>
        <xdr:cNvPr id="37" name="テキスト 204">
          <a:extLst>
            <a:ext uri="{FF2B5EF4-FFF2-40B4-BE49-F238E27FC236}">
              <a16:creationId xmlns="" xmlns:a16="http://schemas.microsoft.com/office/drawing/2014/main" id="{00000000-0008-0000-0700-000025000000}"/>
            </a:ext>
          </a:extLst>
        </xdr:cNvPr>
        <xdr:cNvSpPr txBox="1">
          <a:spLocks noChangeArrowheads="1"/>
        </xdr:cNvSpPr>
      </xdr:nvSpPr>
      <xdr:spPr bwMode="auto">
        <a:xfrm>
          <a:off x="5934075" y="586740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24</xdr:row>
      <xdr:rowOff>0</xdr:rowOff>
    </xdr:from>
    <xdr:to>
      <xdr:col>10</xdr:col>
      <xdr:colOff>0</xdr:colOff>
      <xdr:row>25</xdr:row>
      <xdr:rowOff>0</xdr:rowOff>
    </xdr:to>
    <xdr:sp macro="" textlink="">
      <xdr:nvSpPr>
        <xdr:cNvPr id="38" name="テキスト 204">
          <a:extLst>
            <a:ext uri="{FF2B5EF4-FFF2-40B4-BE49-F238E27FC236}">
              <a16:creationId xmlns="" xmlns:a16="http://schemas.microsoft.com/office/drawing/2014/main" id="{00000000-0008-0000-0700-000026000000}"/>
            </a:ext>
          </a:extLst>
        </xdr:cNvPr>
        <xdr:cNvSpPr txBox="1">
          <a:spLocks noChangeArrowheads="1"/>
        </xdr:cNvSpPr>
      </xdr:nvSpPr>
      <xdr:spPr bwMode="auto">
        <a:xfrm>
          <a:off x="5934075" y="632460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20</xdr:row>
      <xdr:rowOff>155575</xdr:rowOff>
    </xdr:from>
    <xdr:to>
      <xdr:col>10</xdr:col>
      <xdr:colOff>0</xdr:colOff>
      <xdr:row>22</xdr:row>
      <xdr:rowOff>19108</xdr:rowOff>
    </xdr:to>
    <xdr:sp macro="" textlink="">
      <xdr:nvSpPr>
        <xdr:cNvPr id="39" name="テキスト 204">
          <a:extLst>
            <a:ext uri="{FF2B5EF4-FFF2-40B4-BE49-F238E27FC236}">
              <a16:creationId xmlns="" xmlns:a16="http://schemas.microsoft.com/office/drawing/2014/main" id="{00000000-0008-0000-0700-000027000000}"/>
            </a:ext>
          </a:extLst>
        </xdr:cNvPr>
        <xdr:cNvSpPr txBox="1">
          <a:spLocks noChangeArrowheads="1"/>
        </xdr:cNvSpPr>
      </xdr:nvSpPr>
      <xdr:spPr bwMode="auto">
        <a:xfrm>
          <a:off x="5934075" y="5534025"/>
          <a:ext cx="0" cy="3524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21</xdr:row>
      <xdr:rowOff>0</xdr:rowOff>
    </xdr:from>
    <xdr:to>
      <xdr:col>10</xdr:col>
      <xdr:colOff>0</xdr:colOff>
      <xdr:row>22</xdr:row>
      <xdr:rowOff>0</xdr:rowOff>
    </xdr:to>
    <xdr:sp macro="" textlink="">
      <xdr:nvSpPr>
        <xdr:cNvPr id="41" name="テキスト 204">
          <a:extLst>
            <a:ext uri="{FF2B5EF4-FFF2-40B4-BE49-F238E27FC236}">
              <a16:creationId xmlns="" xmlns:a16="http://schemas.microsoft.com/office/drawing/2014/main" id="{00000000-0008-0000-0700-000029000000}"/>
            </a:ext>
          </a:extLst>
        </xdr:cNvPr>
        <xdr:cNvSpPr txBox="1">
          <a:spLocks noChangeArrowheads="1"/>
        </xdr:cNvSpPr>
      </xdr:nvSpPr>
      <xdr:spPr bwMode="auto">
        <a:xfrm>
          <a:off x="5934075" y="588645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23</xdr:row>
      <xdr:rowOff>0</xdr:rowOff>
    </xdr:from>
    <xdr:to>
      <xdr:col>10</xdr:col>
      <xdr:colOff>0</xdr:colOff>
      <xdr:row>24</xdr:row>
      <xdr:rowOff>0</xdr:rowOff>
    </xdr:to>
    <xdr:sp macro="" textlink="">
      <xdr:nvSpPr>
        <xdr:cNvPr id="42" name="テキスト 204">
          <a:extLst>
            <a:ext uri="{FF2B5EF4-FFF2-40B4-BE49-F238E27FC236}">
              <a16:creationId xmlns="" xmlns:a16="http://schemas.microsoft.com/office/drawing/2014/main" id="{00000000-0008-0000-0700-00002A000000}"/>
            </a:ext>
          </a:extLst>
        </xdr:cNvPr>
        <xdr:cNvSpPr txBox="1">
          <a:spLocks noChangeArrowheads="1"/>
        </xdr:cNvSpPr>
      </xdr:nvSpPr>
      <xdr:spPr bwMode="auto">
        <a:xfrm>
          <a:off x="5934075" y="634365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21</xdr:row>
      <xdr:rowOff>0</xdr:rowOff>
    </xdr:from>
    <xdr:to>
      <xdr:col>10</xdr:col>
      <xdr:colOff>0</xdr:colOff>
      <xdr:row>22</xdr:row>
      <xdr:rowOff>0</xdr:rowOff>
    </xdr:to>
    <xdr:sp macro="" textlink="">
      <xdr:nvSpPr>
        <xdr:cNvPr id="43" name="テキスト 204">
          <a:extLst>
            <a:ext uri="{FF2B5EF4-FFF2-40B4-BE49-F238E27FC236}">
              <a16:creationId xmlns="" xmlns:a16="http://schemas.microsoft.com/office/drawing/2014/main" id="{00000000-0008-0000-0700-00002B000000}"/>
            </a:ext>
          </a:extLst>
        </xdr:cNvPr>
        <xdr:cNvSpPr txBox="1">
          <a:spLocks noChangeArrowheads="1"/>
        </xdr:cNvSpPr>
      </xdr:nvSpPr>
      <xdr:spPr bwMode="auto">
        <a:xfrm>
          <a:off x="5934075" y="588645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23</xdr:row>
      <xdr:rowOff>0</xdr:rowOff>
    </xdr:from>
    <xdr:to>
      <xdr:col>10</xdr:col>
      <xdr:colOff>0</xdr:colOff>
      <xdr:row>24</xdr:row>
      <xdr:rowOff>0</xdr:rowOff>
    </xdr:to>
    <xdr:sp macro="" textlink="">
      <xdr:nvSpPr>
        <xdr:cNvPr id="44" name="テキスト 204">
          <a:extLst>
            <a:ext uri="{FF2B5EF4-FFF2-40B4-BE49-F238E27FC236}">
              <a16:creationId xmlns="" xmlns:a16="http://schemas.microsoft.com/office/drawing/2014/main" id="{00000000-0008-0000-0700-00002C000000}"/>
            </a:ext>
          </a:extLst>
        </xdr:cNvPr>
        <xdr:cNvSpPr txBox="1">
          <a:spLocks noChangeArrowheads="1"/>
        </xdr:cNvSpPr>
      </xdr:nvSpPr>
      <xdr:spPr bwMode="auto">
        <a:xfrm>
          <a:off x="5934075" y="634365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2"/>
  <sheetViews>
    <sheetView zoomScale="85" zoomScaleNormal="85" workbookViewId="0">
      <selection activeCell="E14" sqref="E14"/>
    </sheetView>
  </sheetViews>
  <sheetFormatPr defaultRowHeight="13.5"/>
  <cols>
    <col min="1" max="1" width="1.75" style="274" customWidth="1"/>
    <col min="2" max="2" width="5" style="274" customWidth="1"/>
    <col min="3" max="3" width="7" style="274" customWidth="1"/>
    <col min="4" max="4" width="18" style="274" customWidth="1"/>
    <col min="5" max="5" width="8" style="274" customWidth="1"/>
    <col min="6" max="6" width="5" style="274" customWidth="1"/>
    <col min="7" max="7" width="10.875" style="274" customWidth="1"/>
    <col min="8" max="8" width="8.375" style="274" customWidth="1"/>
    <col min="9" max="9" width="8.75" style="274" customWidth="1"/>
    <col min="10" max="10" width="5" style="274" customWidth="1"/>
    <col min="11" max="11" width="8.5" style="274" customWidth="1"/>
    <col min="12" max="12" width="10.875" style="274" customWidth="1"/>
    <col min="13" max="13" width="9.5" style="274" customWidth="1"/>
    <col min="14" max="14" width="7.875" style="274" customWidth="1"/>
    <col min="15" max="15" width="8" style="274" customWidth="1"/>
    <col min="16" max="16" width="11.25" style="274" customWidth="1"/>
    <col min="17" max="17" width="12.25" style="274" customWidth="1"/>
    <col min="18" max="18" width="4.875" style="274" customWidth="1"/>
    <col min="19" max="21" width="7.625" style="274" customWidth="1"/>
    <col min="22" max="24" width="8.75" style="274" customWidth="1"/>
    <col min="25" max="25" width="4.5" style="274" customWidth="1"/>
    <col min="26" max="28" width="8" style="274" customWidth="1"/>
    <col min="29" max="16384" width="9" style="274"/>
  </cols>
  <sheetData>
    <row r="1" spans="1:28" ht="9.75" customHeight="1" thickBot="1">
      <c r="A1" s="184"/>
      <c r="B1" s="184"/>
      <c r="C1" s="184"/>
      <c r="D1" s="184"/>
      <c r="E1" s="184"/>
      <c r="F1" s="184"/>
      <c r="G1" s="184"/>
      <c r="H1" s="184"/>
      <c r="I1" s="184"/>
      <c r="J1" s="184"/>
      <c r="K1" s="184"/>
      <c r="L1" s="184"/>
      <c r="M1" s="184"/>
      <c r="N1" s="184"/>
      <c r="O1" s="184"/>
      <c r="P1" s="184"/>
      <c r="Q1" s="184"/>
      <c r="R1" s="184"/>
    </row>
    <row r="2" spans="1:28" ht="21">
      <c r="A2" s="184"/>
      <c r="B2" s="173"/>
      <c r="C2" s="174"/>
      <c r="D2" s="471" t="str">
        <f>参照ﾃﾞｰﾀ!P4</f>
        <v>2019年</v>
      </c>
      <c r="E2" s="471"/>
      <c r="F2" s="471"/>
      <c r="G2" s="175" t="s">
        <v>172</v>
      </c>
      <c r="H2" s="176"/>
      <c r="I2" s="177"/>
      <c r="J2" s="173"/>
      <c r="K2" s="178"/>
      <c r="L2" s="173"/>
      <c r="M2" s="179" t="s">
        <v>52</v>
      </c>
      <c r="N2" s="326" t="s">
        <v>243</v>
      </c>
      <c r="O2" s="181" t="s">
        <v>54</v>
      </c>
      <c r="P2" s="182">
        <v>43485</v>
      </c>
      <c r="Q2" s="183">
        <v>0.41666666666666669</v>
      </c>
      <c r="R2" s="173"/>
      <c r="S2" s="276" t="s">
        <v>2</v>
      </c>
      <c r="T2" s="275"/>
      <c r="U2" s="275"/>
      <c r="W2" s="275"/>
      <c r="X2" s="275"/>
      <c r="Y2" s="275"/>
    </row>
    <row r="3" spans="1:28" ht="21.75" customHeight="1" thickBot="1">
      <c r="A3" s="184"/>
      <c r="B3" s="173"/>
      <c r="C3" s="184"/>
      <c r="D3" s="185" t="s">
        <v>245</v>
      </c>
      <c r="E3" s="472" t="s">
        <v>64</v>
      </c>
      <c r="F3" s="472"/>
      <c r="G3" s="472"/>
      <c r="H3" s="472"/>
      <c r="I3" s="472"/>
      <c r="J3" s="497" t="s">
        <v>86</v>
      </c>
      <c r="K3" s="497"/>
      <c r="L3" s="173"/>
      <c r="M3" s="186" t="s">
        <v>75</v>
      </c>
      <c r="N3" s="187">
        <f>IF(ISBLANK(N2),"",VLOOKUP(N2,コース・距離,2,FALSE))</f>
        <v>6</v>
      </c>
      <c r="O3" s="188" t="s">
        <v>0</v>
      </c>
      <c r="P3" s="189">
        <v>16</v>
      </c>
      <c r="Q3" s="190" t="s">
        <v>1</v>
      </c>
      <c r="R3" s="173"/>
      <c r="S3" s="275" t="s">
        <v>239</v>
      </c>
      <c r="T3" s="275"/>
      <c r="U3" s="275"/>
      <c r="V3" s="274" t="s">
        <v>238</v>
      </c>
      <c r="W3" s="275"/>
      <c r="X3" s="275"/>
      <c r="Y3" s="275"/>
      <c r="Z3" s="277" t="s">
        <v>76</v>
      </c>
    </row>
    <row r="4" spans="1:28" ht="7.5" customHeight="1" thickBot="1">
      <c r="A4" s="184"/>
      <c r="B4" s="173"/>
      <c r="C4" s="173"/>
      <c r="D4" s="173"/>
      <c r="E4" s="173"/>
      <c r="F4" s="173"/>
      <c r="G4" s="173"/>
      <c r="H4" s="173"/>
      <c r="I4" s="173"/>
      <c r="J4" s="173"/>
      <c r="K4" s="173"/>
      <c r="L4" s="173"/>
      <c r="M4" s="173"/>
      <c r="N4" s="173"/>
      <c r="O4" s="173"/>
      <c r="P4" s="173"/>
      <c r="Q4" s="173"/>
      <c r="R4" s="173"/>
      <c r="S4" s="275"/>
      <c r="T4" s="275"/>
      <c r="U4" s="275"/>
      <c r="V4" s="278"/>
      <c r="W4" s="275"/>
      <c r="X4" s="275"/>
      <c r="Y4" s="275"/>
    </row>
    <row r="5" spans="1:28" ht="14.25">
      <c r="A5" s="184"/>
      <c r="B5" s="191" t="s">
        <v>3</v>
      </c>
      <c r="C5" s="192" t="s">
        <v>4</v>
      </c>
      <c r="D5" s="192" t="s">
        <v>5</v>
      </c>
      <c r="E5" s="192" t="s">
        <v>6</v>
      </c>
      <c r="F5" s="192" t="s">
        <v>7</v>
      </c>
      <c r="G5" s="192" t="s">
        <v>8</v>
      </c>
      <c r="H5" s="192" t="s">
        <v>9</v>
      </c>
      <c r="I5" s="192" t="s">
        <v>10</v>
      </c>
      <c r="J5" s="192" t="s">
        <v>11</v>
      </c>
      <c r="K5" s="192" t="s">
        <v>12</v>
      </c>
      <c r="L5" s="193" t="s">
        <v>280</v>
      </c>
      <c r="M5" s="193" t="s">
        <v>281</v>
      </c>
      <c r="N5" s="192" t="s">
        <v>71</v>
      </c>
      <c r="O5" s="192" t="s">
        <v>13</v>
      </c>
      <c r="P5" s="498" t="s">
        <v>70</v>
      </c>
      <c r="Q5" s="499"/>
      <c r="R5" s="268"/>
      <c r="S5" s="281" t="s">
        <v>10</v>
      </c>
      <c r="T5" s="279" t="s">
        <v>10</v>
      </c>
      <c r="U5" s="282" t="s">
        <v>10</v>
      </c>
      <c r="V5" s="281" t="s">
        <v>10</v>
      </c>
      <c r="W5" s="279" t="s">
        <v>10</v>
      </c>
      <c r="X5" s="282" t="s">
        <v>10</v>
      </c>
      <c r="Y5" s="280"/>
      <c r="Z5" s="281" t="s">
        <v>13</v>
      </c>
      <c r="AA5" s="279" t="s">
        <v>13</v>
      </c>
      <c r="AB5" s="282" t="s">
        <v>13</v>
      </c>
    </row>
    <row r="6" spans="1:28" ht="14.25">
      <c r="A6" s="184"/>
      <c r="B6" s="194"/>
      <c r="C6" s="195" t="s">
        <v>14</v>
      </c>
      <c r="D6" s="196"/>
      <c r="E6" s="197" t="s">
        <v>15</v>
      </c>
      <c r="F6" s="197"/>
      <c r="G6" s="195" t="s">
        <v>16</v>
      </c>
      <c r="H6" s="197" t="s">
        <v>17</v>
      </c>
      <c r="I6" s="195" t="s">
        <v>236</v>
      </c>
      <c r="J6" s="197" t="s">
        <v>18</v>
      </c>
      <c r="K6" s="197" t="s">
        <v>17</v>
      </c>
      <c r="L6" s="195" t="s">
        <v>16</v>
      </c>
      <c r="M6" s="197" t="s">
        <v>46</v>
      </c>
      <c r="N6" s="197" t="s">
        <v>19</v>
      </c>
      <c r="O6" s="198" t="str">
        <f>IF(ISBLANK(N2),"",VLOOKUP(N2,コース・距離,3,FALSE))</f>
        <v>MAX=20</v>
      </c>
      <c r="P6" s="199"/>
      <c r="Q6" s="200"/>
      <c r="R6" s="269"/>
      <c r="S6" s="285" t="s">
        <v>20</v>
      </c>
      <c r="T6" s="283" t="s">
        <v>22</v>
      </c>
      <c r="U6" s="286" t="s">
        <v>21</v>
      </c>
      <c r="V6" s="285" t="s">
        <v>20</v>
      </c>
      <c r="W6" s="283" t="s">
        <v>22</v>
      </c>
      <c r="X6" s="286" t="s">
        <v>21</v>
      </c>
      <c r="Y6" s="284"/>
      <c r="Z6" s="285" t="s">
        <v>78</v>
      </c>
      <c r="AA6" s="283" t="s">
        <v>79</v>
      </c>
      <c r="AB6" s="286" t="s">
        <v>80</v>
      </c>
    </row>
    <row r="7" spans="1:28" ht="14.25">
      <c r="A7" s="184"/>
      <c r="B7" s="201">
        <v>1</v>
      </c>
      <c r="C7" s="202">
        <v>6714</v>
      </c>
      <c r="D7" s="203" t="str">
        <f t="shared" ref="D7:D21" si="0">IF(ISBLANK(C7),"",VLOOKUP(C7,各艇データ,2,FALSE))</f>
        <v>HAURAKI</v>
      </c>
      <c r="E7" s="320">
        <f t="shared" ref="E7:E21" si="1">IF($I$6="Ⅰ",S7,IF($I$6="Ⅱ",T7,IF($I$6="Ⅲ",U7,"")))</f>
        <v>8.94</v>
      </c>
      <c r="F7" s="204">
        <v>2</v>
      </c>
      <c r="G7" s="205">
        <v>0.45384259259259258</v>
      </c>
      <c r="H7" s="202">
        <f t="shared" ref="H7:H21" si="2">IFERROR(IF(G7-$Q$2&lt;=0,"",(G7-$Q$2)*86400),"")</f>
        <v>3211.9999999999968</v>
      </c>
      <c r="I7" s="206">
        <f t="shared" ref="I7:I21" si="3">IF($I$6="Ⅰ",V7,IF($I$6="Ⅱ",W7,IF($I$6="Ⅲ",X7,"")))</f>
        <v>583</v>
      </c>
      <c r="J7" s="204"/>
      <c r="K7" s="207">
        <f t="shared" ref="K7:K21" si="4">IFERROR(H7*(1+0.01*J7)-I7*$N$3,"")</f>
        <v>-286.00000000000318</v>
      </c>
      <c r="L7" s="205">
        <f t="shared" ref="L7:L21" si="5">IFERROR((K7-$K$7)/86400,"")</f>
        <v>0</v>
      </c>
      <c r="M7" s="208">
        <f t="shared" ref="M7:M21" si="6">IFERROR((K7-$K$7)/$N$3,"")</f>
        <v>0</v>
      </c>
      <c r="N7" s="209">
        <f t="shared" ref="N7:N21" si="7">IFERROR($N$3/(H7/3600),"")</f>
        <v>6.7247820672478271</v>
      </c>
      <c r="O7" s="210">
        <f t="shared" ref="O7:O21" si="8">ROUND(IF($O$6="MAX=20",Z7,IF($O$6="MAX=30",AA7,IF($O$6="MAX=40",AB7,""))),1)</f>
        <v>20</v>
      </c>
      <c r="P7" s="211"/>
      <c r="Q7" s="212"/>
      <c r="R7" s="268"/>
      <c r="S7" s="288">
        <f t="shared" ref="S7:S31" si="9">IF(ISBLANK(C7),"",VLOOKUP(C7,各艇データ,3,FALSE))</f>
        <v>8.9600000000000009</v>
      </c>
      <c r="T7" s="289">
        <f t="shared" ref="T7:T31" si="10">IF(ISBLANK(C7),"",VLOOKUP(C7,各艇データ,4,FALSE))</f>
        <v>8.94</v>
      </c>
      <c r="U7" s="290">
        <f t="shared" ref="U7:U31" si="11">IF(ISBLANK(C7),"",VLOOKUP(C7,各艇データ,5,FALSE))</f>
        <v>8.64</v>
      </c>
      <c r="V7" s="291">
        <f t="shared" ref="V7:V31" si="12">IF(ISBLANK(C7),"",VLOOKUP(C7,各艇データ,6,FALSE))</f>
        <v>939.9</v>
      </c>
      <c r="W7" s="292">
        <f t="shared" ref="W7:W31" si="13">IF(ISBLANK(C7),"",VLOOKUP(C7,各艇データ,7,FALSE))</f>
        <v>583</v>
      </c>
      <c r="X7" s="293">
        <f t="shared" ref="X7:X31" si="14">IF(ISBLANK(C7),"",VLOOKUP(C7,各艇データ,8,FALSE))</f>
        <v>520.9</v>
      </c>
      <c r="Y7" s="280"/>
      <c r="Z7" s="294">
        <f>IF(ISBLANK(B7),"",IFERROR(20*($P$3+1-$B7)/$P$3,"20.0"))</f>
        <v>20</v>
      </c>
      <c r="AA7" s="287">
        <f>IF(ISBLANK(B7),"",IFERROR(30*($P$3+1-$B7)/$P$3,"30.0"))</f>
        <v>30</v>
      </c>
      <c r="AB7" s="295">
        <f>IF(ISBLANK(B7),"",IFERROR(30*($P$3-$B7)/($P$3-1)+10,"20.0"))</f>
        <v>40</v>
      </c>
    </row>
    <row r="8" spans="1:28" ht="14.25">
      <c r="A8" s="184"/>
      <c r="B8" s="213">
        <v>2</v>
      </c>
      <c r="C8" s="214">
        <v>150</v>
      </c>
      <c r="D8" s="215" t="str">
        <f t="shared" si="0"/>
        <v>SHARK X</v>
      </c>
      <c r="E8" s="321">
        <f t="shared" si="1"/>
        <v>8.68</v>
      </c>
      <c r="F8" s="216">
        <v>3</v>
      </c>
      <c r="G8" s="217">
        <v>0.45483796296296292</v>
      </c>
      <c r="H8" s="214">
        <f t="shared" si="2"/>
        <v>3297.9999999999945</v>
      </c>
      <c r="I8" s="218">
        <f t="shared" si="3"/>
        <v>588.9</v>
      </c>
      <c r="J8" s="216"/>
      <c r="K8" s="219">
        <f t="shared" si="4"/>
        <v>-235.40000000000509</v>
      </c>
      <c r="L8" s="217">
        <f t="shared" si="5"/>
        <v>5.8564814814812606E-4</v>
      </c>
      <c r="M8" s="220">
        <f t="shared" si="6"/>
        <v>8.4333333333330156</v>
      </c>
      <c r="N8" s="221">
        <f t="shared" si="7"/>
        <v>6.549423893268659</v>
      </c>
      <c r="O8" s="222">
        <f t="shared" si="8"/>
        <v>18.8</v>
      </c>
      <c r="P8" s="223"/>
      <c r="Q8" s="224"/>
      <c r="R8" s="268"/>
      <c r="S8" s="288">
        <f t="shared" si="9"/>
        <v>9.06</v>
      </c>
      <c r="T8" s="289">
        <f t="shared" si="10"/>
        <v>8.68</v>
      </c>
      <c r="U8" s="290">
        <f t="shared" si="11"/>
        <v>8.5</v>
      </c>
      <c r="V8" s="291">
        <f t="shared" si="12"/>
        <v>936.4</v>
      </c>
      <c r="W8" s="292">
        <f t="shared" si="13"/>
        <v>588.9</v>
      </c>
      <c r="X8" s="293">
        <f t="shared" si="14"/>
        <v>524.4</v>
      </c>
      <c r="Y8" s="280"/>
      <c r="Z8" s="294">
        <f t="shared" ref="Z8:Z31" si="15">IF(ISBLANK(B8),"",IFERROR(20*($P$3+1-$B8)/$P$3,"20.0"))</f>
        <v>18.75</v>
      </c>
      <c r="AA8" s="287">
        <f t="shared" ref="AA8:AA31" si="16">IF(ISBLANK(B8),"",IFERROR(30*($P$3+1-$B8)/$P$3,"30.0"))</f>
        <v>28.125</v>
      </c>
      <c r="AB8" s="295">
        <f t="shared" ref="AB8:AB31" si="17">IF(ISBLANK(B8),"",IFERROR(30*($P$3-$B8)/($P$3-1)+10,"20.0"))</f>
        <v>38</v>
      </c>
    </row>
    <row r="9" spans="1:28" ht="14.25">
      <c r="A9" s="184"/>
      <c r="B9" s="213">
        <v>3</v>
      </c>
      <c r="C9" s="214">
        <v>5752</v>
      </c>
      <c r="D9" s="215" t="str">
        <f t="shared" si="0"/>
        <v>アルファ</v>
      </c>
      <c r="E9" s="321">
        <f t="shared" si="1"/>
        <v>10.18</v>
      </c>
      <c r="F9" s="216">
        <v>1</v>
      </c>
      <c r="G9" s="217">
        <v>0.4536574074074074</v>
      </c>
      <c r="H9" s="214">
        <f t="shared" si="2"/>
        <v>3195.9999999999977</v>
      </c>
      <c r="I9" s="218">
        <f t="shared" si="3"/>
        <v>557</v>
      </c>
      <c r="J9" s="216"/>
      <c r="K9" s="219">
        <f t="shared" si="4"/>
        <v>-146.00000000000227</v>
      </c>
      <c r="L9" s="217">
        <f t="shared" si="5"/>
        <v>1.6203703703703809E-3</v>
      </c>
      <c r="M9" s="220">
        <f t="shared" si="6"/>
        <v>23.333333333333485</v>
      </c>
      <c r="N9" s="221">
        <f t="shared" si="7"/>
        <v>6.7584480600750991</v>
      </c>
      <c r="O9" s="222">
        <f t="shared" si="8"/>
        <v>17.5</v>
      </c>
      <c r="P9" s="257"/>
      <c r="Q9" s="224"/>
      <c r="R9" s="268"/>
      <c r="S9" s="288">
        <f t="shared" ref="S9:S20" si="18">IF(ISBLANK(C9),"",VLOOKUP(C9,各艇データ,3,FALSE))</f>
        <v>10.43</v>
      </c>
      <c r="T9" s="289">
        <f t="shared" ref="T9:T20" si="19">IF(ISBLANK(C9),"",VLOOKUP(C9,各艇データ,4,FALSE))</f>
        <v>10.18</v>
      </c>
      <c r="U9" s="290">
        <f t="shared" ref="U9:U20" si="20">IF(ISBLANK(C9),"",VLOOKUP(C9,各艇データ,5,FALSE))</f>
        <v>9.92</v>
      </c>
      <c r="V9" s="291">
        <f t="shared" ref="V9:V20" si="21">IF(ISBLANK(C9),"",VLOOKUP(C9,各艇データ,6,FALSE))</f>
        <v>892.7</v>
      </c>
      <c r="W9" s="292">
        <f t="shared" ref="W9:W20" si="22">IF(ISBLANK(C9),"",VLOOKUP(C9,各艇データ,7,FALSE))</f>
        <v>557</v>
      </c>
      <c r="X9" s="293">
        <f t="shared" ref="X9:X20" si="23">IF(ISBLANK(C9),"",VLOOKUP(C9,各艇データ,8,FALSE))</f>
        <v>492.1</v>
      </c>
      <c r="Y9" s="280"/>
      <c r="Z9" s="294">
        <f t="shared" si="15"/>
        <v>17.5</v>
      </c>
      <c r="AA9" s="287">
        <f t="shared" si="16"/>
        <v>26.25</v>
      </c>
      <c r="AB9" s="295">
        <f t="shared" si="17"/>
        <v>36</v>
      </c>
    </row>
    <row r="10" spans="1:28" ht="14.25">
      <c r="A10" s="184"/>
      <c r="B10" s="213">
        <v>4</v>
      </c>
      <c r="C10" s="214">
        <v>321</v>
      </c>
      <c r="D10" s="215" t="str">
        <f t="shared" si="0"/>
        <v>かまくら</v>
      </c>
      <c r="E10" s="321">
        <f t="shared" si="1"/>
        <v>9.51</v>
      </c>
      <c r="F10" s="216">
        <v>4</v>
      </c>
      <c r="G10" s="217">
        <v>0.45497685185185183</v>
      </c>
      <c r="H10" s="214">
        <f t="shared" si="2"/>
        <v>3309.9999999999964</v>
      </c>
      <c r="I10" s="218">
        <f t="shared" si="3"/>
        <v>570.5</v>
      </c>
      <c r="J10" s="216"/>
      <c r="K10" s="219">
        <f t="shared" si="4"/>
        <v>-113.00000000000364</v>
      </c>
      <c r="L10" s="217">
        <f t="shared" si="5"/>
        <v>2.0023148148148096E-3</v>
      </c>
      <c r="M10" s="220">
        <f t="shared" si="6"/>
        <v>28.833333333333258</v>
      </c>
      <c r="N10" s="221">
        <f t="shared" si="7"/>
        <v>6.5256797583081649</v>
      </c>
      <c r="O10" s="222">
        <f t="shared" si="8"/>
        <v>16.3</v>
      </c>
      <c r="P10" s="303"/>
      <c r="Q10" s="224"/>
      <c r="R10" s="268"/>
      <c r="S10" s="288">
        <f t="shared" si="18"/>
        <v>10.15</v>
      </c>
      <c r="T10" s="289">
        <f t="shared" si="19"/>
        <v>9.51</v>
      </c>
      <c r="U10" s="290">
        <f t="shared" si="20"/>
        <v>9.44</v>
      </c>
      <c r="V10" s="291">
        <f t="shared" si="21"/>
        <v>900.8</v>
      </c>
      <c r="W10" s="292">
        <f t="shared" si="22"/>
        <v>570.5</v>
      </c>
      <c r="X10" s="293">
        <f t="shared" si="23"/>
        <v>502.2</v>
      </c>
      <c r="Y10" s="280"/>
      <c r="Z10" s="294">
        <f t="shared" si="15"/>
        <v>16.25</v>
      </c>
      <c r="AA10" s="287">
        <f t="shared" si="16"/>
        <v>24.375</v>
      </c>
      <c r="AB10" s="295">
        <f t="shared" si="17"/>
        <v>34</v>
      </c>
    </row>
    <row r="11" spans="1:28" ht="14.25">
      <c r="A11" s="184"/>
      <c r="B11" s="225">
        <v>5</v>
      </c>
      <c r="C11" s="226">
        <v>6735</v>
      </c>
      <c r="D11" s="227" t="str">
        <f t="shared" si="0"/>
        <v>VEGA</v>
      </c>
      <c r="E11" s="322">
        <f t="shared" si="1"/>
        <v>8.77</v>
      </c>
      <c r="F11" s="228">
        <v>7</v>
      </c>
      <c r="G11" s="229">
        <v>0.45614583333333331</v>
      </c>
      <c r="H11" s="230">
        <f t="shared" si="2"/>
        <v>3410.9999999999959</v>
      </c>
      <c r="I11" s="231">
        <f t="shared" si="3"/>
        <v>587</v>
      </c>
      <c r="J11" s="232"/>
      <c r="K11" s="233">
        <f t="shared" si="4"/>
        <v>-111.00000000000409</v>
      </c>
      <c r="L11" s="234">
        <f t="shared" si="5"/>
        <v>2.0254629629629524E-3</v>
      </c>
      <c r="M11" s="235">
        <f t="shared" si="6"/>
        <v>29.166666666666515</v>
      </c>
      <c r="N11" s="236">
        <f t="shared" si="7"/>
        <v>6.3324538258575274</v>
      </c>
      <c r="O11" s="237">
        <f t="shared" si="8"/>
        <v>15</v>
      </c>
      <c r="P11" s="238"/>
      <c r="Q11" s="239"/>
      <c r="R11" s="268"/>
      <c r="S11" s="288">
        <f t="shared" si="18"/>
        <v>9.77</v>
      </c>
      <c r="T11" s="289">
        <f t="shared" si="19"/>
        <v>8.77</v>
      </c>
      <c r="U11" s="290">
        <f t="shared" si="20"/>
        <v>8.43</v>
      </c>
      <c r="V11" s="291">
        <f t="shared" si="21"/>
        <v>912.7</v>
      </c>
      <c r="W11" s="292">
        <f t="shared" si="22"/>
        <v>587</v>
      </c>
      <c r="X11" s="293">
        <f t="shared" si="23"/>
        <v>526.1</v>
      </c>
      <c r="Y11" s="280"/>
      <c r="Z11" s="294">
        <f t="shared" si="15"/>
        <v>15</v>
      </c>
      <c r="AA11" s="287">
        <f t="shared" si="16"/>
        <v>22.5</v>
      </c>
      <c r="AB11" s="295">
        <f t="shared" si="17"/>
        <v>32</v>
      </c>
    </row>
    <row r="12" spans="1:28" ht="14.25">
      <c r="A12" s="184"/>
      <c r="B12" s="201">
        <v>6</v>
      </c>
      <c r="C12" s="202">
        <v>1733</v>
      </c>
      <c r="D12" s="203" t="str">
        <f t="shared" si="0"/>
        <v>ケロニア</v>
      </c>
      <c r="E12" s="320">
        <f t="shared" si="1"/>
        <v>9.57</v>
      </c>
      <c r="F12" s="204">
        <v>6</v>
      </c>
      <c r="G12" s="205">
        <v>0.45508101851851851</v>
      </c>
      <c r="H12" s="202">
        <f t="shared" si="2"/>
        <v>3318.9999999999977</v>
      </c>
      <c r="I12" s="206">
        <f t="shared" si="3"/>
        <v>569.29999999999995</v>
      </c>
      <c r="J12" s="204"/>
      <c r="K12" s="207">
        <f t="shared" si="4"/>
        <v>-96.800000000002001</v>
      </c>
      <c r="L12" s="205">
        <f t="shared" si="5"/>
        <v>2.1898148148148285E-3</v>
      </c>
      <c r="M12" s="208">
        <f t="shared" si="6"/>
        <v>31.53333333333353</v>
      </c>
      <c r="N12" s="209">
        <f t="shared" si="7"/>
        <v>6.5079843326303148</v>
      </c>
      <c r="O12" s="210">
        <f t="shared" si="8"/>
        <v>13.8</v>
      </c>
      <c r="P12" s="184"/>
      <c r="Q12" s="212"/>
      <c r="R12" s="268"/>
      <c r="S12" s="288">
        <f t="shared" si="18"/>
        <v>9.67</v>
      </c>
      <c r="T12" s="289">
        <f t="shared" si="19"/>
        <v>9.57</v>
      </c>
      <c r="U12" s="290">
        <f t="shared" si="20"/>
        <v>9.4</v>
      </c>
      <c r="V12" s="291">
        <f t="shared" si="21"/>
        <v>915.7</v>
      </c>
      <c r="W12" s="292">
        <f t="shared" si="22"/>
        <v>569.29999999999995</v>
      </c>
      <c r="X12" s="293">
        <f t="shared" si="23"/>
        <v>503.2</v>
      </c>
      <c r="Y12" s="280"/>
      <c r="Z12" s="294">
        <f t="shared" si="15"/>
        <v>13.75</v>
      </c>
      <c r="AA12" s="287">
        <f t="shared" si="16"/>
        <v>20.625</v>
      </c>
      <c r="AB12" s="295">
        <f t="shared" si="17"/>
        <v>30</v>
      </c>
    </row>
    <row r="13" spans="1:28" ht="14.25">
      <c r="A13" s="184"/>
      <c r="B13" s="213">
        <v>7</v>
      </c>
      <c r="C13" s="240">
        <v>5273</v>
      </c>
      <c r="D13" s="215" t="str">
        <f t="shared" si="0"/>
        <v>仰秀</v>
      </c>
      <c r="E13" s="321">
        <f t="shared" si="1"/>
        <v>5.7</v>
      </c>
      <c r="F13" s="216">
        <v>13</v>
      </c>
      <c r="G13" s="217">
        <v>0.46329861111111109</v>
      </c>
      <c r="H13" s="214">
        <f t="shared" si="2"/>
        <v>4028.9999999999968</v>
      </c>
      <c r="I13" s="218">
        <f t="shared" si="3"/>
        <v>682.3</v>
      </c>
      <c r="J13" s="216"/>
      <c r="K13" s="219">
        <f t="shared" si="4"/>
        <v>-64.80000000000291</v>
      </c>
      <c r="L13" s="217">
        <f t="shared" si="5"/>
        <v>2.5601851851851883E-3</v>
      </c>
      <c r="M13" s="220">
        <f t="shared" si="6"/>
        <v>36.86666666666671</v>
      </c>
      <c r="N13" s="221">
        <f t="shared" si="7"/>
        <v>5.3611317944899524</v>
      </c>
      <c r="O13" s="222">
        <f t="shared" si="8"/>
        <v>12.5</v>
      </c>
      <c r="P13" s="223"/>
      <c r="Q13" s="224"/>
      <c r="R13" s="268"/>
      <c r="S13" s="288">
        <f t="shared" si="18"/>
        <v>5.76</v>
      </c>
      <c r="T13" s="289">
        <f t="shared" si="19"/>
        <v>5.7</v>
      </c>
      <c r="U13" s="290">
        <f t="shared" si="20"/>
        <v>5.93</v>
      </c>
      <c r="V13" s="291">
        <f t="shared" si="21"/>
        <v>1092.5</v>
      </c>
      <c r="W13" s="292">
        <f t="shared" si="22"/>
        <v>682.3</v>
      </c>
      <c r="X13" s="293">
        <f t="shared" si="23"/>
        <v>607.79999999999995</v>
      </c>
      <c r="Y13" s="280"/>
      <c r="Z13" s="294">
        <f t="shared" si="15"/>
        <v>12.5</v>
      </c>
      <c r="AA13" s="287">
        <f t="shared" si="16"/>
        <v>18.75</v>
      </c>
      <c r="AB13" s="295">
        <f t="shared" si="17"/>
        <v>28</v>
      </c>
    </row>
    <row r="14" spans="1:28" ht="14.25">
      <c r="A14" s="184"/>
      <c r="B14" s="213">
        <v>8</v>
      </c>
      <c r="C14" s="214">
        <v>380</v>
      </c>
      <c r="D14" s="215" t="str">
        <f t="shared" si="0"/>
        <v>テティス</v>
      </c>
      <c r="E14" s="321">
        <v>10.119999999999999</v>
      </c>
      <c r="F14" s="216">
        <v>5</v>
      </c>
      <c r="G14" s="217">
        <v>0.45506944444444447</v>
      </c>
      <c r="H14" s="214">
        <v>3318.0000000000009</v>
      </c>
      <c r="I14" s="218">
        <v>558.20000000000005</v>
      </c>
      <c r="J14" s="216"/>
      <c r="K14" s="219">
        <f t="shared" si="4"/>
        <v>-31.199999999999363</v>
      </c>
      <c r="L14" s="217">
        <f t="shared" si="5"/>
        <v>2.9490740740741182E-3</v>
      </c>
      <c r="M14" s="220">
        <f t="shared" si="6"/>
        <v>42.466666666667301</v>
      </c>
      <c r="N14" s="221">
        <f t="shared" si="7"/>
        <v>6.5099457504520775</v>
      </c>
      <c r="O14" s="222">
        <f t="shared" si="8"/>
        <v>11.3</v>
      </c>
      <c r="P14" s="223"/>
      <c r="Q14" s="224"/>
      <c r="R14" s="268"/>
      <c r="S14" s="288">
        <f t="shared" si="18"/>
        <v>10.32</v>
      </c>
      <c r="T14" s="289">
        <f t="shared" si="19"/>
        <v>9.86</v>
      </c>
      <c r="U14" s="290">
        <f t="shared" si="20"/>
        <v>9.51</v>
      </c>
      <c r="V14" s="291">
        <f t="shared" si="21"/>
        <v>896</v>
      </c>
      <c r="W14" s="292">
        <f t="shared" si="22"/>
        <v>563.29999999999995</v>
      </c>
      <c r="X14" s="293">
        <f t="shared" si="23"/>
        <v>500.8</v>
      </c>
      <c r="Y14" s="280"/>
      <c r="Z14" s="294">
        <f t="shared" si="15"/>
        <v>11.25</v>
      </c>
      <c r="AA14" s="287">
        <f t="shared" si="16"/>
        <v>16.875</v>
      </c>
      <c r="AB14" s="295">
        <f t="shared" si="17"/>
        <v>26</v>
      </c>
    </row>
    <row r="15" spans="1:28" ht="14.25">
      <c r="A15" s="184"/>
      <c r="B15" s="213">
        <v>9</v>
      </c>
      <c r="C15" s="214">
        <v>199</v>
      </c>
      <c r="D15" s="215" t="str">
        <f t="shared" si="0"/>
        <v>サ－モン4</v>
      </c>
      <c r="E15" s="321">
        <f t="shared" si="1"/>
        <v>9.15</v>
      </c>
      <c r="F15" s="216">
        <v>8</v>
      </c>
      <c r="G15" s="217">
        <v>0.45679398148148148</v>
      </c>
      <c r="H15" s="214">
        <f t="shared" si="2"/>
        <v>3466.9999999999982</v>
      </c>
      <c r="I15" s="218">
        <f t="shared" si="3"/>
        <v>578.20000000000005</v>
      </c>
      <c r="J15" s="216"/>
      <c r="K15" s="219">
        <f t="shared" si="4"/>
        <v>-2.2000000000020918</v>
      </c>
      <c r="L15" s="217">
        <f t="shared" si="5"/>
        <v>3.2847222222222349E-3</v>
      </c>
      <c r="M15" s="220">
        <f t="shared" si="6"/>
        <v>47.300000000000182</v>
      </c>
      <c r="N15" s="221">
        <f t="shared" si="7"/>
        <v>6.2301701759446244</v>
      </c>
      <c r="O15" s="222">
        <f t="shared" si="8"/>
        <v>10</v>
      </c>
      <c r="P15" s="223"/>
      <c r="Q15" s="224"/>
      <c r="R15" s="268"/>
      <c r="S15" s="288">
        <f t="shared" si="18"/>
        <v>8.99</v>
      </c>
      <c r="T15" s="289">
        <f t="shared" si="19"/>
        <v>9.15</v>
      </c>
      <c r="U15" s="290">
        <f t="shared" si="20"/>
        <v>9.1</v>
      </c>
      <c r="V15" s="291">
        <f t="shared" si="21"/>
        <v>939</v>
      </c>
      <c r="W15" s="292">
        <f t="shared" si="22"/>
        <v>578.20000000000005</v>
      </c>
      <c r="X15" s="293">
        <f t="shared" si="23"/>
        <v>509.9</v>
      </c>
      <c r="Y15" s="280"/>
      <c r="Z15" s="294">
        <f t="shared" si="15"/>
        <v>10</v>
      </c>
      <c r="AA15" s="287">
        <f t="shared" si="16"/>
        <v>15</v>
      </c>
      <c r="AB15" s="295">
        <f t="shared" si="17"/>
        <v>24</v>
      </c>
    </row>
    <row r="16" spans="1:28" ht="14.25">
      <c r="A16" s="184"/>
      <c r="B16" s="225">
        <v>10</v>
      </c>
      <c r="C16" s="226">
        <v>5755</v>
      </c>
      <c r="D16" s="227" t="str">
        <f t="shared" si="0"/>
        <v>ランカ</v>
      </c>
      <c r="E16" s="322">
        <f t="shared" si="1"/>
        <v>8.2100000000000009</v>
      </c>
      <c r="F16" s="228">
        <v>10</v>
      </c>
      <c r="G16" s="229">
        <v>0.45850694444444445</v>
      </c>
      <c r="H16" s="226">
        <f t="shared" si="2"/>
        <v>3614.9999999999991</v>
      </c>
      <c r="I16" s="241">
        <f t="shared" si="3"/>
        <v>600.5</v>
      </c>
      <c r="J16" s="242"/>
      <c r="K16" s="243">
        <f t="shared" si="4"/>
        <v>11.999999999999091</v>
      </c>
      <c r="L16" s="229">
        <f t="shared" si="5"/>
        <v>3.4490740740741005E-3</v>
      </c>
      <c r="M16" s="244">
        <f t="shared" si="6"/>
        <v>49.666666666667048</v>
      </c>
      <c r="N16" s="245">
        <f t="shared" si="7"/>
        <v>5.975103734439835</v>
      </c>
      <c r="O16" s="246">
        <f t="shared" si="8"/>
        <v>8.8000000000000007</v>
      </c>
      <c r="P16" s="238"/>
      <c r="Q16" s="239"/>
      <c r="R16" s="268"/>
      <c r="S16" s="288">
        <f t="shared" si="18"/>
        <v>8.25</v>
      </c>
      <c r="T16" s="289">
        <f t="shared" si="19"/>
        <v>8.2100000000000009</v>
      </c>
      <c r="U16" s="290">
        <f t="shared" si="20"/>
        <v>8.1300000000000008</v>
      </c>
      <c r="V16" s="291">
        <f t="shared" si="21"/>
        <v>966.8</v>
      </c>
      <c r="W16" s="292">
        <f t="shared" si="22"/>
        <v>600.5</v>
      </c>
      <c r="X16" s="293">
        <f t="shared" si="23"/>
        <v>534.1</v>
      </c>
      <c r="Y16" s="280"/>
      <c r="Z16" s="294">
        <f t="shared" si="15"/>
        <v>8.75</v>
      </c>
      <c r="AA16" s="287">
        <f t="shared" si="16"/>
        <v>13.125</v>
      </c>
      <c r="AB16" s="295">
        <f t="shared" si="17"/>
        <v>22</v>
      </c>
    </row>
    <row r="17" spans="1:28" ht="14.25">
      <c r="A17" s="184"/>
      <c r="B17" s="201">
        <v>11</v>
      </c>
      <c r="C17" s="202">
        <v>6732</v>
      </c>
      <c r="D17" s="203" t="str">
        <f t="shared" si="0"/>
        <v>アイデアル</v>
      </c>
      <c r="E17" s="320">
        <f t="shared" si="1"/>
        <v>9.1300000000000008</v>
      </c>
      <c r="F17" s="204">
        <v>9</v>
      </c>
      <c r="G17" s="205">
        <v>0.45777777777777778</v>
      </c>
      <c r="H17" s="247">
        <f t="shared" si="2"/>
        <v>3551.9999999999991</v>
      </c>
      <c r="I17" s="248">
        <f t="shared" si="3"/>
        <v>578.79999999999995</v>
      </c>
      <c r="J17" s="249"/>
      <c r="K17" s="250">
        <f t="shared" si="4"/>
        <v>79.199999999999363</v>
      </c>
      <c r="L17" s="251">
        <f t="shared" si="5"/>
        <v>4.2268518518518809E-3</v>
      </c>
      <c r="M17" s="252">
        <f t="shared" si="6"/>
        <v>60.866666666667093</v>
      </c>
      <c r="N17" s="253">
        <f t="shared" si="7"/>
        <v>6.0810810810810834</v>
      </c>
      <c r="O17" s="254">
        <f t="shared" si="8"/>
        <v>7.5</v>
      </c>
      <c r="P17" s="313"/>
      <c r="Q17" s="212"/>
      <c r="R17" s="268"/>
      <c r="S17" s="288">
        <f t="shared" si="18"/>
        <v>9.59</v>
      </c>
      <c r="T17" s="289">
        <f t="shared" si="19"/>
        <v>9.1300000000000008</v>
      </c>
      <c r="U17" s="290">
        <f t="shared" si="20"/>
        <v>8.76</v>
      </c>
      <c r="V17" s="291">
        <f t="shared" si="21"/>
        <v>918.4</v>
      </c>
      <c r="W17" s="292">
        <f t="shared" si="22"/>
        <v>578.79999999999995</v>
      </c>
      <c r="X17" s="293">
        <f t="shared" si="23"/>
        <v>518</v>
      </c>
      <c r="Y17" s="280"/>
      <c r="Z17" s="294">
        <f t="shared" si="15"/>
        <v>7.5</v>
      </c>
      <c r="AA17" s="287">
        <f t="shared" si="16"/>
        <v>11.25</v>
      </c>
      <c r="AB17" s="295">
        <f t="shared" si="17"/>
        <v>20</v>
      </c>
    </row>
    <row r="18" spans="1:28" ht="14.25">
      <c r="A18" s="184"/>
      <c r="B18" s="213">
        <v>12</v>
      </c>
      <c r="C18" s="214">
        <v>162</v>
      </c>
      <c r="D18" s="215" t="str">
        <f t="shared" si="0"/>
        <v>ﾌｪﾆｯｸｽ</v>
      </c>
      <c r="E18" s="321">
        <f t="shared" si="1"/>
        <v>6.84</v>
      </c>
      <c r="F18" s="216">
        <v>14</v>
      </c>
      <c r="G18" s="217">
        <v>0.46365740740740741</v>
      </c>
      <c r="H18" s="214">
        <f t="shared" si="2"/>
        <v>4059.9999999999982</v>
      </c>
      <c r="I18" s="218">
        <f t="shared" si="3"/>
        <v>640.4</v>
      </c>
      <c r="J18" s="216"/>
      <c r="K18" s="219">
        <f t="shared" si="4"/>
        <v>217.59999999999854</v>
      </c>
      <c r="L18" s="217">
        <f t="shared" si="5"/>
        <v>5.8287037037037239E-3</v>
      </c>
      <c r="M18" s="220">
        <f t="shared" si="6"/>
        <v>83.933333333333621</v>
      </c>
      <c r="N18" s="221">
        <f t="shared" si="7"/>
        <v>5.3201970443349778</v>
      </c>
      <c r="O18" s="222">
        <f t="shared" si="8"/>
        <v>6.3</v>
      </c>
      <c r="P18" s="223"/>
      <c r="Q18" s="224"/>
      <c r="R18" s="268"/>
      <c r="S18" s="288">
        <f t="shared" si="18"/>
        <v>6.96</v>
      </c>
      <c r="T18" s="289">
        <f t="shared" si="19"/>
        <v>6.84</v>
      </c>
      <c r="U18" s="290">
        <f t="shared" si="20"/>
        <v>6.95</v>
      </c>
      <c r="V18" s="291">
        <f t="shared" si="21"/>
        <v>1024.3</v>
      </c>
      <c r="W18" s="292">
        <f t="shared" si="22"/>
        <v>640.4</v>
      </c>
      <c r="X18" s="293">
        <f t="shared" si="23"/>
        <v>569.4</v>
      </c>
      <c r="Y18" s="280"/>
      <c r="Z18" s="294">
        <f t="shared" si="15"/>
        <v>6.25</v>
      </c>
      <c r="AA18" s="287">
        <f t="shared" si="16"/>
        <v>9.375</v>
      </c>
      <c r="AB18" s="295">
        <f t="shared" si="17"/>
        <v>18</v>
      </c>
    </row>
    <row r="19" spans="1:28" ht="14.25">
      <c r="A19" s="184"/>
      <c r="B19" s="213">
        <v>13</v>
      </c>
      <c r="C19" s="214">
        <v>2212</v>
      </c>
      <c r="D19" s="215" t="str">
        <f t="shared" si="0"/>
        <v>衣笠</v>
      </c>
      <c r="E19" s="321">
        <f t="shared" si="1"/>
        <v>9.0399999999999991</v>
      </c>
      <c r="F19" s="216">
        <v>11</v>
      </c>
      <c r="G19" s="217">
        <v>0.46055555555555555</v>
      </c>
      <c r="H19" s="214">
        <f t="shared" si="2"/>
        <v>3791.9999999999982</v>
      </c>
      <c r="I19" s="218">
        <f t="shared" si="3"/>
        <v>580.79999999999995</v>
      </c>
      <c r="J19" s="216"/>
      <c r="K19" s="219">
        <f t="shared" si="4"/>
        <v>307.19999999999845</v>
      </c>
      <c r="L19" s="217">
        <f t="shared" si="5"/>
        <v>6.8657407407407599E-3</v>
      </c>
      <c r="M19" s="220">
        <f t="shared" si="6"/>
        <v>98.866666666666944</v>
      </c>
      <c r="N19" s="221">
        <f t="shared" si="7"/>
        <v>5.6962025316455724</v>
      </c>
      <c r="O19" s="222">
        <f t="shared" si="8"/>
        <v>5</v>
      </c>
      <c r="P19" s="223"/>
      <c r="Q19" s="224"/>
      <c r="R19" s="268"/>
      <c r="S19" s="288">
        <f t="shared" si="18"/>
        <v>8.8000000000000007</v>
      </c>
      <c r="T19" s="289">
        <f t="shared" si="19"/>
        <v>9.0399999999999991</v>
      </c>
      <c r="U19" s="290">
        <f t="shared" si="20"/>
        <v>9.0399999999999991</v>
      </c>
      <c r="V19" s="291">
        <f t="shared" si="21"/>
        <v>945.7</v>
      </c>
      <c r="W19" s="292">
        <f t="shared" si="22"/>
        <v>580.79999999999995</v>
      </c>
      <c r="X19" s="293">
        <f t="shared" si="23"/>
        <v>511.4</v>
      </c>
      <c r="Y19" s="280"/>
      <c r="Z19" s="294">
        <f t="shared" si="15"/>
        <v>5</v>
      </c>
      <c r="AA19" s="287">
        <f t="shared" si="16"/>
        <v>7.5</v>
      </c>
      <c r="AB19" s="295">
        <f t="shared" si="17"/>
        <v>16</v>
      </c>
    </row>
    <row r="20" spans="1:28" ht="14.25">
      <c r="A20" s="184"/>
      <c r="B20" s="213">
        <v>14</v>
      </c>
      <c r="C20" s="214">
        <v>131</v>
      </c>
      <c r="D20" s="215" t="str">
        <f t="shared" si="0"/>
        <v>ふるたか</v>
      </c>
      <c r="E20" s="321">
        <f t="shared" si="1"/>
        <v>8.31</v>
      </c>
      <c r="F20" s="216">
        <v>12</v>
      </c>
      <c r="G20" s="217">
        <v>0.46217592592592593</v>
      </c>
      <c r="H20" s="214">
        <f t="shared" si="2"/>
        <v>3931.9999999999991</v>
      </c>
      <c r="I20" s="218">
        <f t="shared" si="3"/>
        <v>598.20000000000005</v>
      </c>
      <c r="J20" s="216"/>
      <c r="K20" s="219">
        <f t="shared" si="4"/>
        <v>342.79999999999882</v>
      </c>
      <c r="L20" s="217">
        <f t="shared" si="5"/>
        <v>7.2777777777778005E-3</v>
      </c>
      <c r="M20" s="220">
        <f t="shared" si="6"/>
        <v>104.80000000000034</v>
      </c>
      <c r="N20" s="221">
        <f t="shared" si="7"/>
        <v>5.493387589013226</v>
      </c>
      <c r="O20" s="222">
        <f t="shared" si="8"/>
        <v>3.8</v>
      </c>
      <c r="P20" s="318"/>
      <c r="Q20" s="224"/>
      <c r="R20" s="268"/>
      <c r="S20" s="288">
        <f t="shared" si="18"/>
        <v>8.2899999999999991</v>
      </c>
      <c r="T20" s="289">
        <f t="shared" si="19"/>
        <v>8.31</v>
      </c>
      <c r="U20" s="290">
        <f t="shared" si="20"/>
        <v>8.0500000000000007</v>
      </c>
      <c r="V20" s="291">
        <f t="shared" si="21"/>
        <v>965.1</v>
      </c>
      <c r="W20" s="292">
        <f t="shared" si="22"/>
        <v>598.20000000000005</v>
      </c>
      <c r="X20" s="293">
        <f t="shared" si="23"/>
        <v>536.29999999999995</v>
      </c>
      <c r="Y20" s="280"/>
      <c r="Z20" s="294">
        <f t="shared" si="15"/>
        <v>3.75</v>
      </c>
      <c r="AA20" s="287">
        <f t="shared" si="16"/>
        <v>5.625</v>
      </c>
      <c r="AB20" s="295">
        <f t="shared" si="17"/>
        <v>14</v>
      </c>
    </row>
    <row r="21" spans="1:28" ht="14.25">
      <c r="A21" s="184"/>
      <c r="B21" s="225">
        <v>15</v>
      </c>
      <c r="C21" s="226">
        <v>346</v>
      </c>
      <c r="D21" s="215" t="str">
        <f t="shared" si="0"/>
        <v>飛車角</v>
      </c>
      <c r="E21" s="322">
        <f t="shared" si="1"/>
        <v>8.58</v>
      </c>
      <c r="F21" s="228">
        <v>15</v>
      </c>
      <c r="G21" s="229">
        <v>0.46466435185185184</v>
      </c>
      <c r="H21" s="226">
        <f t="shared" si="2"/>
        <v>4146.9999999999973</v>
      </c>
      <c r="I21" s="241">
        <f t="shared" si="3"/>
        <v>591.5</v>
      </c>
      <c r="J21" s="228"/>
      <c r="K21" s="243">
        <f t="shared" si="4"/>
        <v>597.99999999999727</v>
      </c>
      <c r="L21" s="229">
        <f t="shared" si="5"/>
        <v>1.0231481481481487E-2</v>
      </c>
      <c r="M21" s="244">
        <f t="shared" si="6"/>
        <v>147.3333333333334</v>
      </c>
      <c r="N21" s="245">
        <f t="shared" si="7"/>
        <v>5.2085845189293494</v>
      </c>
      <c r="O21" s="246">
        <f t="shared" si="8"/>
        <v>2.5</v>
      </c>
      <c r="P21" s="305"/>
      <c r="Q21" s="239"/>
      <c r="R21" s="268"/>
      <c r="S21" s="288">
        <f t="shared" si="9"/>
        <v>8.4</v>
      </c>
      <c r="T21" s="289">
        <f t="shared" si="10"/>
        <v>8.58</v>
      </c>
      <c r="U21" s="290">
        <f t="shared" si="11"/>
        <v>8.68</v>
      </c>
      <c r="V21" s="291">
        <f t="shared" si="12"/>
        <v>960.8</v>
      </c>
      <c r="W21" s="292">
        <f t="shared" si="13"/>
        <v>591.5</v>
      </c>
      <c r="X21" s="293">
        <f t="shared" si="14"/>
        <v>519.79999999999995</v>
      </c>
      <c r="Y21" s="280"/>
      <c r="Z21" s="294">
        <f t="shared" si="15"/>
        <v>2.5</v>
      </c>
      <c r="AA21" s="287">
        <f t="shared" si="16"/>
        <v>3.75</v>
      </c>
      <c r="AB21" s="295">
        <f t="shared" si="17"/>
        <v>12</v>
      </c>
    </row>
    <row r="22" spans="1:28" ht="14.25">
      <c r="A22" s="184"/>
      <c r="B22" s="255"/>
      <c r="C22" s="247">
        <v>1611</v>
      </c>
      <c r="D22" s="203" t="str">
        <f t="shared" ref="D22:D24" si="24">IF(ISBLANK(C22),"",VLOOKUP(C22,各艇データ,2,FALSE))</f>
        <v>ﾈﾌﾟﾁｭｰﾝXⅡ</v>
      </c>
      <c r="E22" s="320">
        <f t="shared" ref="E22" si="25">IF($I$6="Ⅰ",S22,IF($I$6="Ⅱ",T22,IF($I$6="Ⅲ",U22,"")))</f>
        <v>8.15</v>
      </c>
      <c r="F22" s="204" t="s">
        <v>323</v>
      </c>
      <c r="G22" s="251">
        <v>0.45877314814814812</v>
      </c>
      <c r="H22" s="247"/>
      <c r="I22" s="248"/>
      <c r="J22" s="249"/>
      <c r="K22" s="250"/>
      <c r="L22" s="251"/>
      <c r="M22" s="252"/>
      <c r="N22" s="253"/>
      <c r="O22" s="254">
        <v>1</v>
      </c>
      <c r="P22" s="261" t="s">
        <v>318</v>
      </c>
      <c r="Q22" s="256"/>
      <c r="R22" s="268"/>
      <c r="S22" s="288">
        <f t="shared" si="9"/>
        <v>8.0299999999999994</v>
      </c>
      <c r="T22" s="289">
        <f t="shared" si="10"/>
        <v>8.15</v>
      </c>
      <c r="U22" s="290">
        <f t="shared" si="11"/>
        <v>7.98</v>
      </c>
      <c r="V22" s="291">
        <f t="shared" si="12"/>
        <v>975.7</v>
      </c>
      <c r="W22" s="292">
        <f t="shared" si="13"/>
        <v>602.20000000000005</v>
      </c>
      <c r="X22" s="293">
        <f t="shared" si="14"/>
        <v>538.1</v>
      </c>
      <c r="Y22" s="280"/>
      <c r="Z22" s="294" t="str">
        <f t="shared" si="15"/>
        <v/>
      </c>
      <c r="AA22" s="287" t="str">
        <f t="shared" si="16"/>
        <v/>
      </c>
      <c r="AB22" s="295" t="str">
        <f t="shared" si="17"/>
        <v/>
      </c>
    </row>
    <row r="23" spans="1:28" ht="14.25">
      <c r="A23" s="184"/>
      <c r="B23" s="213"/>
      <c r="C23" s="214"/>
      <c r="D23" s="215"/>
      <c r="E23" s="216"/>
      <c r="F23" s="216"/>
      <c r="G23" s="217"/>
      <c r="H23" s="247"/>
      <c r="I23" s="248"/>
      <c r="J23" s="249"/>
      <c r="K23" s="250"/>
      <c r="L23" s="251"/>
      <c r="M23" s="252"/>
      <c r="N23" s="253"/>
      <c r="O23" s="254"/>
      <c r="P23" s="257"/>
      <c r="Q23" s="224"/>
      <c r="R23" s="268"/>
      <c r="S23" s="288" t="str">
        <f t="shared" si="9"/>
        <v/>
      </c>
      <c r="T23" s="289" t="str">
        <f t="shared" si="10"/>
        <v/>
      </c>
      <c r="U23" s="290" t="str">
        <f t="shared" si="11"/>
        <v/>
      </c>
      <c r="V23" s="291" t="str">
        <f t="shared" si="12"/>
        <v/>
      </c>
      <c r="W23" s="292" t="str">
        <f t="shared" si="13"/>
        <v/>
      </c>
      <c r="X23" s="293" t="str">
        <f t="shared" si="14"/>
        <v/>
      </c>
      <c r="Y23" s="280"/>
      <c r="Z23" s="294" t="str">
        <f t="shared" si="15"/>
        <v/>
      </c>
      <c r="AA23" s="287" t="str">
        <f t="shared" si="16"/>
        <v/>
      </c>
      <c r="AB23" s="295" t="str">
        <f t="shared" si="17"/>
        <v/>
      </c>
    </row>
    <row r="24" spans="1:28" ht="14.25">
      <c r="A24" s="184"/>
      <c r="B24" s="213"/>
      <c r="C24" s="214">
        <v>312</v>
      </c>
      <c r="D24" s="215" t="str">
        <f t="shared" si="24"/>
        <v>はやとり</v>
      </c>
      <c r="E24" s="216"/>
      <c r="F24" s="216"/>
      <c r="G24" s="217"/>
      <c r="H24" s="214"/>
      <c r="I24" s="218"/>
      <c r="J24" s="216"/>
      <c r="K24" s="219"/>
      <c r="L24" s="217"/>
      <c r="M24" s="220"/>
      <c r="N24" s="221"/>
      <c r="O24" s="222">
        <v>1</v>
      </c>
      <c r="P24" s="258" t="s">
        <v>319</v>
      </c>
      <c r="Q24" s="224"/>
      <c r="R24" s="268"/>
      <c r="S24" s="288">
        <f t="shared" si="9"/>
        <v>8.11</v>
      </c>
      <c r="T24" s="289">
        <f t="shared" si="10"/>
        <v>8.09</v>
      </c>
      <c r="U24" s="290">
        <f t="shared" si="11"/>
        <v>8.07</v>
      </c>
      <c r="V24" s="291">
        <f t="shared" si="12"/>
        <v>972.4</v>
      </c>
      <c r="W24" s="292">
        <f t="shared" si="13"/>
        <v>603.70000000000005</v>
      </c>
      <c r="X24" s="293">
        <f t="shared" si="14"/>
        <v>535.70000000000005</v>
      </c>
      <c r="Y24" s="280"/>
      <c r="Z24" s="294" t="str">
        <f t="shared" si="15"/>
        <v/>
      </c>
      <c r="AA24" s="287" t="str">
        <f t="shared" si="16"/>
        <v/>
      </c>
      <c r="AB24" s="295" t="str">
        <f t="shared" si="17"/>
        <v/>
      </c>
    </row>
    <row r="25" spans="1:28" ht="14.25">
      <c r="A25" s="184"/>
      <c r="B25" s="213"/>
      <c r="C25" s="214"/>
      <c r="D25" s="215" t="str">
        <f t="shared" ref="D25:D31" si="26">IF(ISBLANK(C25),"",VLOOKUP(C25,各艇データ,2,FALSE))</f>
        <v/>
      </c>
      <c r="E25" s="216"/>
      <c r="F25" s="216"/>
      <c r="G25" s="217"/>
      <c r="H25" s="214"/>
      <c r="I25" s="218"/>
      <c r="J25" s="216"/>
      <c r="K25" s="219"/>
      <c r="L25" s="217"/>
      <c r="M25" s="220"/>
      <c r="N25" s="221"/>
      <c r="O25" s="222"/>
      <c r="P25" s="258"/>
      <c r="Q25" s="224"/>
      <c r="R25" s="268"/>
      <c r="S25" s="288" t="str">
        <f t="shared" si="9"/>
        <v/>
      </c>
      <c r="T25" s="289" t="str">
        <f t="shared" si="10"/>
        <v/>
      </c>
      <c r="U25" s="290" t="str">
        <f t="shared" si="11"/>
        <v/>
      </c>
      <c r="V25" s="291" t="str">
        <f t="shared" si="12"/>
        <v/>
      </c>
      <c r="W25" s="292" t="str">
        <f t="shared" si="13"/>
        <v/>
      </c>
      <c r="X25" s="293" t="str">
        <f t="shared" si="14"/>
        <v/>
      </c>
      <c r="Y25" s="280"/>
      <c r="Z25" s="294" t="str">
        <f t="shared" si="15"/>
        <v/>
      </c>
      <c r="AA25" s="287" t="str">
        <f t="shared" si="16"/>
        <v/>
      </c>
      <c r="AB25" s="295" t="str">
        <f t="shared" si="17"/>
        <v/>
      </c>
    </row>
    <row r="26" spans="1:28" ht="14.25">
      <c r="A26" s="184"/>
      <c r="B26" s="225"/>
      <c r="C26" s="226"/>
      <c r="D26" s="227" t="str">
        <f t="shared" si="26"/>
        <v/>
      </c>
      <c r="E26" s="228"/>
      <c r="F26" s="228"/>
      <c r="G26" s="229"/>
      <c r="H26" s="226" t="str">
        <f>IFERROR(IF(G26-$Q$2&lt;=0,"",(G26-$Q$2)*86400),"")</f>
        <v/>
      </c>
      <c r="I26" s="241" t="str">
        <f>IF($I$6="Ⅰ",V26,IF($I$6="Ⅱ",W26,IF($I$6="Ⅲ",X26,"")))</f>
        <v/>
      </c>
      <c r="J26" s="228"/>
      <c r="K26" s="243" t="str">
        <f>IFERROR(H26*(1+0.01*J26)-I26*$N$3,"")</f>
        <v/>
      </c>
      <c r="L26" s="229" t="str">
        <f>IFERROR((K26-$K$7)/86400,"")</f>
        <v/>
      </c>
      <c r="M26" s="244" t="str">
        <f>IFERROR((K26-$K$7)/$N$3,"")</f>
        <v/>
      </c>
      <c r="N26" s="245" t="str">
        <f>IFERROR($N$3/(H26/3600),"")</f>
        <v/>
      </c>
      <c r="O26" s="246" t="str">
        <f>IF($O$6="MAX=20",Z26,IF($O$6="MAX=30",AA26,IF($O$6="MAX=40",AB26,"")))</f>
        <v/>
      </c>
      <c r="P26" s="259"/>
      <c r="Q26" s="239"/>
      <c r="R26" s="268"/>
      <c r="S26" s="288" t="str">
        <f t="shared" si="9"/>
        <v/>
      </c>
      <c r="T26" s="289" t="str">
        <f t="shared" si="10"/>
        <v/>
      </c>
      <c r="U26" s="290" t="str">
        <f t="shared" si="11"/>
        <v/>
      </c>
      <c r="V26" s="291" t="str">
        <f t="shared" si="12"/>
        <v/>
      </c>
      <c r="W26" s="292" t="str">
        <f t="shared" si="13"/>
        <v/>
      </c>
      <c r="X26" s="293" t="str">
        <f t="shared" si="14"/>
        <v/>
      </c>
      <c r="Y26" s="280"/>
      <c r="Z26" s="294" t="str">
        <f t="shared" si="15"/>
        <v/>
      </c>
      <c r="AA26" s="287" t="str">
        <f t="shared" si="16"/>
        <v/>
      </c>
      <c r="AB26" s="295" t="str">
        <f t="shared" si="17"/>
        <v/>
      </c>
    </row>
    <row r="27" spans="1:28" ht="14.25">
      <c r="A27" s="184"/>
      <c r="B27" s="255"/>
      <c r="C27" s="247"/>
      <c r="D27" s="260" t="str">
        <f t="shared" si="26"/>
        <v/>
      </c>
      <c r="E27" s="249"/>
      <c r="F27" s="249"/>
      <c r="G27" s="251"/>
      <c r="H27" s="202" t="str">
        <f>IFERROR(IF(G27-$Q$2&lt;=0,"",(G27-$Q$2)*86400),"")</f>
        <v/>
      </c>
      <c r="I27" s="206"/>
      <c r="J27" s="204"/>
      <c r="K27" s="207" t="str">
        <f>IFERROR(H27*(1+0.01*J27)-I27*$N$3,"")</f>
        <v/>
      </c>
      <c r="L27" s="205" t="str">
        <f>IFERROR((K27-$K$7)/86400,"")</f>
        <v/>
      </c>
      <c r="M27" s="208" t="str">
        <f>IFERROR((K27-$K$7)/$N$3,"")</f>
        <v/>
      </c>
      <c r="N27" s="209" t="str">
        <f>IFERROR($N$3/(H27/3600),"")</f>
        <v/>
      </c>
      <c r="O27" s="210"/>
      <c r="P27" s="261"/>
      <c r="Q27" s="256"/>
      <c r="R27" s="268"/>
      <c r="S27" s="288" t="str">
        <f t="shared" si="9"/>
        <v/>
      </c>
      <c r="T27" s="289" t="str">
        <f t="shared" si="10"/>
        <v/>
      </c>
      <c r="U27" s="290" t="str">
        <f t="shared" si="11"/>
        <v/>
      </c>
      <c r="V27" s="291" t="str">
        <f t="shared" si="12"/>
        <v/>
      </c>
      <c r="W27" s="292" t="str">
        <f t="shared" si="13"/>
        <v/>
      </c>
      <c r="X27" s="293" t="str">
        <f t="shared" si="14"/>
        <v/>
      </c>
      <c r="Y27" s="280"/>
      <c r="Z27" s="294" t="str">
        <f t="shared" si="15"/>
        <v/>
      </c>
      <c r="AA27" s="287" t="str">
        <f t="shared" si="16"/>
        <v/>
      </c>
      <c r="AB27" s="295" t="str">
        <f t="shared" si="17"/>
        <v/>
      </c>
    </row>
    <row r="28" spans="1:28" ht="14.25" customHeight="1">
      <c r="A28" s="184"/>
      <c r="B28" s="213"/>
      <c r="C28" s="214"/>
      <c r="D28" s="215" t="str">
        <f t="shared" si="26"/>
        <v/>
      </c>
      <c r="E28" s="216"/>
      <c r="F28" s="216"/>
      <c r="G28" s="217"/>
      <c r="H28" s="214"/>
      <c r="I28" s="218"/>
      <c r="J28" s="216"/>
      <c r="K28" s="219"/>
      <c r="L28" s="217"/>
      <c r="M28" s="220"/>
      <c r="N28" s="221"/>
      <c r="O28" s="222"/>
      <c r="P28" s="262"/>
      <c r="Q28" s="224"/>
      <c r="R28" s="268"/>
      <c r="S28" s="288" t="str">
        <f t="shared" si="9"/>
        <v/>
      </c>
      <c r="T28" s="289" t="str">
        <f t="shared" si="10"/>
        <v/>
      </c>
      <c r="U28" s="290" t="str">
        <f t="shared" si="11"/>
        <v/>
      </c>
      <c r="V28" s="291" t="str">
        <f t="shared" si="12"/>
        <v/>
      </c>
      <c r="W28" s="292" t="str">
        <f t="shared" si="13"/>
        <v/>
      </c>
      <c r="X28" s="293" t="str">
        <f t="shared" si="14"/>
        <v/>
      </c>
      <c r="Y28" s="280"/>
      <c r="Z28" s="294" t="str">
        <f t="shared" si="15"/>
        <v/>
      </c>
      <c r="AA28" s="287" t="str">
        <f t="shared" si="16"/>
        <v/>
      </c>
      <c r="AB28" s="295" t="str">
        <f t="shared" si="17"/>
        <v/>
      </c>
    </row>
    <row r="29" spans="1:28" ht="14.25">
      <c r="A29" s="184"/>
      <c r="B29" s="213"/>
      <c r="C29" s="214"/>
      <c r="D29" s="215" t="str">
        <f t="shared" si="26"/>
        <v/>
      </c>
      <c r="E29" s="216"/>
      <c r="F29" s="216"/>
      <c r="G29" s="217"/>
      <c r="H29" s="214"/>
      <c r="I29" s="218"/>
      <c r="J29" s="216"/>
      <c r="K29" s="219"/>
      <c r="L29" s="217"/>
      <c r="M29" s="220"/>
      <c r="N29" s="221"/>
      <c r="O29" s="222"/>
      <c r="P29" s="258"/>
      <c r="Q29" s="224"/>
      <c r="R29" s="268"/>
      <c r="S29" s="288" t="str">
        <f t="shared" si="9"/>
        <v/>
      </c>
      <c r="T29" s="289" t="str">
        <f t="shared" si="10"/>
        <v/>
      </c>
      <c r="U29" s="290" t="str">
        <f t="shared" si="11"/>
        <v/>
      </c>
      <c r="V29" s="291" t="str">
        <f t="shared" si="12"/>
        <v/>
      </c>
      <c r="W29" s="292" t="str">
        <f t="shared" si="13"/>
        <v/>
      </c>
      <c r="X29" s="293" t="str">
        <f t="shared" si="14"/>
        <v/>
      </c>
      <c r="Y29" s="280"/>
      <c r="Z29" s="294" t="str">
        <f t="shared" si="15"/>
        <v/>
      </c>
      <c r="AA29" s="287" t="str">
        <f t="shared" si="16"/>
        <v/>
      </c>
      <c r="AB29" s="295" t="str">
        <f t="shared" si="17"/>
        <v/>
      </c>
    </row>
    <row r="30" spans="1:28" ht="14.25" customHeight="1">
      <c r="A30" s="184"/>
      <c r="B30" s="213"/>
      <c r="C30" s="214"/>
      <c r="D30" s="215" t="str">
        <f t="shared" si="26"/>
        <v/>
      </c>
      <c r="E30" s="216"/>
      <c r="F30" s="216"/>
      <c r="G30" s="217"/>
      <c r="H30" s="214"/>
      <c r="I30" s="218"/>
      <c r="J30" s="216"/>
      <c r="K30" s="219"/>
      <c r="L30" s="217"/>
      <c r="M30" s="220"/>
      <c r="N30" s="221"/>
      <c r="O30" s="222"/>
      <c r="P30" s="258"/>
      <c r="Q30" s="224"/>
      <c r="R30" s="268"/>
      <c r="S30" s="288" t="str">
        <f t="shared" si="9"/>
        <v/>
      </c>
      <c r="T30" s="289" t="str">
        <f t="shared" si="10"/>
        <v/>
      </c>
      <c r="U30" s="290" t="str">
        <f t="shared" si="11"/>
        <v/>
      </c>
      <c r="V30" s="291" t="str">
        <f t="shared" si="12"/>
        <v/>
      </c>
      <c r="W30" s="292" t="str">
        <f t="shared" si="13"/>
        <v/>
      </c>
      <c r="X30" s="293" t="str">
        <f t="shared" si="14"/>
        <v/>
      </c>
      <c r="Y30" s="280"/>
      <c r="Z30" s="294" t="str">
        <f t="shared" si="15"/>
        <v/>
      </c>
      <c r="AA30" s="287" t="str">
        <f t="shared" si="16"/>
        <v/>
      </c>
      <c r="AB30" s="295" t="str">
        <f t="shared" si="17"/>
        <v/>
      </c>
    </row>
    <row r="31" spans="1:28" ht="15" thickBot="1">
      <c r="A31" s="184"/>
      <c r="B31" s="213"/>
      <c r="C31" s="214"/>
      <c r="D31" s="227" t="str">
        <f t="shared" si="26"/>
        <v/>
      </c>
      <c r="E31" s="228"/>
      <c r="F31" s="216"/>
      <c r="G31" s="217"/>
      <c r="H31" s="226" t="str">
        <f>IFERROR(IF(G31-$Q$2&lt;=0,"",(G31-$Q$2)*86400),"")</f>
        <v/>
      </c>
      <c r="I31" s="241" t="str">
        <f>IF($I$6="Ⅰ",V31,IF($I$6="Ⅱ",W31,IF($I$6="Ⅲ",X31,"")))</f>
        <v/>
      </c>
      <c r="J31" s="228"/>
      <c r="K31" s="243" t="str">
        <f>IFERROR(H31*(1+0.01*J31)-I31*$N$3,"")</f>
        <v/>
      </c>
      <c r="L31" s="229" t="str">
        <f>IFERROR((K31-$K$7)/86400,"")</f>
        <v/>
      </c>
      <c r="M31" s="244" t="str">
        <f>IFERROR((K31-$K$7)/$N$3,"")</f>
        <v/>
      </c>
      <c r="N31" s="245" t="str">
        <f>IFERROR($N$3/(H31/3600),"")</f>
        <v/>
      </c>
      <c r="O31" s="246" t="str">
        <f>IF($O$6="MAX=20",Z31,IF($O$6="MAX=30",AA31,IF($O$6="MAX=40",AB31,"")))</f>
        <v/>
      </c>
      <c r="P31" s="259"/>
      <c r="Q31" s="239"/>
      <c r="R31" s="268"/>
      <c r="S31" s="296" t="str">
        <f t="shared" si="9"/>
        <v/>
      </c>
      <c r="T31" s="297" t="str">
        <f t="shared" si="10"/>
        <v/>
      </c>
      <c r="U31" s="298" t="str">
        <f t="shared" si="11"/>
        <v/>
      </c>
      <c r="V31" s="299" t="str">
        <f t="shared" si="12"/>
        <v/>
      </c>
      <c r="W31" s="300" t="str">
        <f t="shared" si="13"/>
        <v/>
      </c>
      <c r="X31" s="301" t="str">
        <f t="shared" si="14"/>
        <v/>
      </c>
      <c r="Y31" s="280"/>
      <c r="Z31" s="310" t="str">
        <f t="shared" si="15"/>
        <v/>
      </c>
      <c r="AA31" s="311" t="str">
        <f t="shared" si="16"/>
        <v/>
      </c>
      <c r="AB31" s="312" t="str">
        <f t="shared" si="17"/>
        <v/>
      </c>
    </row>
    <row r="32" spans="1:28" ht="15" customHeight="1">
      <c r="A32" s="184"/>
      <c r="B32" s="475" t="s">
        <v>282</v>
      </c>
      <c r="C32" s="476"/>
      <c r="D32" s="477"/>
      <c r="E32" s="263" t="s">
        <v>184</v>
      </c>
      <c r="F32" s="509" t="s">
        <v>322</v>
      </c>
      <c r="G32" s="510"/>
      <c r="H32" s="500" t="s">
        <v>342</v>
      </c>
      <c r="I32" s="501"/>
      <c r="J32" s="501"/>
      <c r="K32" s="501"/>
      <c r="L32" s="501"/>
      <c r="M32" s="501"/>
      <c r="N32" s="501"/>
      <c r="O32" s="501"/>
      <c r="P32" s="501"/>
      <c r="Q32" s="502"/>
      <c r="R32" s="173"/>
      <c r="S32" s="275"/>
      <c r="T32" s="275"/>
      <c r="U32" s="275"/>
      <c r="X32" s="275"/>
      <c r="Y32" s="275"/>
    </row>
    <row r="33" spans="1:25" ht="15">
      <c r="A33" s="184"/>
      <c r="B33" s="478"/>
      <c r="C33" s="479"/>
      <c r="D33" s="480"/>
      <c r="E33" s="264" t="s">
        <v>185</v>
      </c>
      <c r="F33" s="473" t="s">
        <v>320</v>
      </c>
      <c r="G33" s="474"/>
      <c r="H33" s="503"/>
      <c r="I33" s="504"/>
      <c r="J33" s="504"/>
      <c r="K33" s="504"/>
      <c r="L33" s="504"/>
      <c r="M33" s="504"/>
      <c r="N33" s="504"/>
      <c r="O33" s="504"/>
      <c r="P33" s="504"/>
      <c r="Q33" s="505"/>
      <c r="R33" s="173"/>
      <c r="S33" s="275"/>
      <c r="T33" s="275"/>
      <c r="U33" s="275"/>
      <c r="X33" s="275"/>
      <c r="Y33" s="275"/>
    </row>
    <row r="34" spans="1:25" ht="23.25" customHeight="1">
      <c r="A34" s="184"/>
      <c r="B34" s="481"/>
      <c r="C34" s="482"/>
      <c r="D34" s="483"/>
      <c r="E34" s="264" t="s">
        <v>186</v>
      </c>
      <c r="F34" s="473" t="s">
        <v>321</v>
      </c>
      <c r="G34" s="474"/>
      <c r="H34" s="503"/>
      <c r="I34" s="504"/>
      <c r="J34" s="504"/>
      <c r="K34" s="504"/>
      <c r="L34" s="504"/>
      <c r="M34" s="504"/>
      <c r="N34" s="504"/>
      <c r="O34" s="504"/>
      <c r="P34" s="504"/>
      <c r="Q34" s="505"/>
      <c r="R34" s="173"/>
      <c r="S34" s="275"/>
      <c r="T34" s="275"/>
      <c r="U34" s="275"/>
      <c r="X34" s="275"/>
      <c r="Y34" s="275"/>
    </row>
    <row r="35" spans="1:25" ht="22.5" customHeight="1">
      <c r="A35" s="184"/>
      <c r="B35" s="484" t="s">
        <v>271</v>
      </c>
      <c r="C35" s="485"/>
      <c r="D35" s="486"/>
      <c r="E35" s="493" t="s">
        <v>189</v>
      </c>
      <c r="F35" s="473" t="str">
        <f>参照ﾃﾞｰﾀ!AL4</f>
        <v>はやとり</v>
      </c>
      <c r="G35" s="474"/>
      <c r="H35" s="503"/>
      <c r="I35" s="504"/>
      <c r="J35" s="504"/>
      <c r="K35" s="504"/>
      <c r="L35" s="504"/>
      <c r="M35" s="504"/>
      <c r="N35" s="504"/>
      <c r="O35" s="504"/>
      <c r="P35" s="504"/>
      <c r="Q35" s="505"/>
      <c r="R35" s="173"/>
      <c r="S35" s="275"/>
      <c r="T35" s="275"/>
      <c r="U35" s="275"/>
      <c r="X35" s="275"/>
      <c r="Y35" s="275"/>
    </row>
    <row r="36" spans="1:25" ht="15" customHeight="1">
      <c r="A36" s="184"/>
      <c r="B36" s="487"/>
      <c r="C36" s="488"/>
      <c r="D36" s="489"/>
      <c r="E36" s="494"/>
      <c r="F36" s="473" t="str">
        <f>参照ﾃﾞｰﾀ!AM4</f>
        <v>アルファ</v>
      </c>
      <c r="G36" s="474"/>
      <c r="H36" s="503"/>
      <c r="I36" s="504"/>
      <c r="J36" s="504"/>
      <c r="K36" s="504"/>
      <c r="L36" s="504"/>
      <c r="M36" s="504"/>
      <c r="N36" s="504"/>
      <c r="O36" s="504"/>
      <c r="P36" s="504"/>
      <c r="Q36" s="505"/>
      <c r="R36" s="173"/>
      <c r="S36" s="275"/>
      <c r="T36" s="275"/>
      <c r="U36" s="275"/>
      <c r="X36" s="275"/>
      <c r="Y36" s="275"/>
    </row>
    <row r="37" spans="1:25" ht="15" customHeight="1">
      <c r="A37" s="184"/>
      <c r="B37" s="487"/>
      <c r="C37" s="488"/>
      <c r="D37" s="489"/>
      <c r="E37" s="263" t="s">
        <v>187</v>
      </c>
      <c r="F37" s="511">
        <v>43513</v>
      </c>
      <c r="G37" s="510"/>
      <c r="H37" s="503"/>
      <c r="I37" s="504"/>
      <c r="J37" s="504"/>
      <c r="K37" s="504"/>
      <c r="L37" s="504"/>
      <c r="M37" s="504"/>
      <c r="N37" s="504"/>
      <c r="O37" s="504"/>
      <c r="P37" s="504"/>
      <c r="Q37" s="505"/>
      <c r="R37" s="173"/>
      <c r="S37" s="275"/>
      <c r="T37" s="275"/>
      <c r="U37" s="275"/>
      <c r="X37" s="275"/>
      <c r="Y37" s="275"/>
    </row>
    <row r="38" spans="1:25" ht="15">
      <c r="A38" s="184"/>
      <c r="B38" s="487"/>
      <c r="C38" s="488"/>
      <c r="D38" s="489"/>
      <c r="E38" s="264" t="s">
        <v>201</v>
      </c>
      <c r="F38" s="473" t="s">
        <v>74</v>
      </c>
      <c r="G38" s="474"/>
      <c r="H38" s="503"/>
      <c r="I38" s="504"/>
      <c r="J38" s="504"/>
      <c r="K38" s="504"/>
      <c r="L38" s="504"/>
      <c r="M38" s="504"/>
      <c r="N38" s="504"/>
      <c r="O38" s="504"/>
      <c r="P38" s="504"/>
      <c r="Q38" s="505"/>
      <c r="R38" s="173"/>
      <c r="S38" s="275"/>
      <c r="T38" s="275"/>
      <c r="U38" s="275"/>
      <c r="X38" s="275"/>
      <c r="Y38" s="275"/>
    </row>
    <row r="39" spans="1:25" ht="30">
      <c r="A39" s="184"/>
      <c r="B39" s="487"/>
      <c r="C39" s="488"/>
      <c r="D39" s="489"/>
      <c r="E39" s="264" t="s">
        <v>188</v>
      </c>
      <c r="F39" s="473" t="str">
        <f>参照ﾃﾞｰﾀ!AL5</f>
        <v>テティス</v>
      </c>
      <c r="G39" s="474"/>
      <c r="H39" s="503"/>
      <c r="I39" s="504"/>
      <c r="J39" s="504"/>
      <c r="K39" s="504"/>
      <c r="L39" s="504"/>
      <c r="M39" s="504"/>
      <c r="N39" s="504"/>
      <c r="O39" s="504"/>
      <c r="P39" s="504"/>
      <c r="Q39" s="505"/>
      <c r="R39" s="173"/>
      <c r="S39" s="275"/>
      <c r="T39" s="275"/>
      <c r="U39" s="275"/>
      <c r="X39" s="275"/>
      <c r="Y39" s="275"/>
    </row>
    <row r="40" spans="1:25" ht="15">
      <c r="A40" s="184"/>
      <c r="B40" s="487"/>
      <c r="C40" s="488"/>
      <c r="D40" s="489"/>
      <c r="E40" s="264"/>
      <c r="F40" s="473"/>
      <c r="G40" s="474"/>
      <c r="H40" s="503"/>
      <c r="I40" s="504"/>
      <c r="J40" s="504"/>
      <c r="K40" s="504"/>
      <c r="L40" s="504"/>
      <c r="M40" s="504"/>
      <c r="N40" s="504"/>
      <c r="O40" s="504"/>
      <c r="P40" s="504"/>
      <c r="Q40" s="505"/>
      <c r="R40" s="173"/>
      <c r="S40" s="275"/>
      <c r="T40" s="275"/>
      <c r="U40" s="275"/>
      <c r="X40" s="275"/>
      <c r="Y40" s="275"/>
    </row>
    <row r="41" spans="1:25" ht="11.25" customHeight="1" thickBot="1">
      <c r="A41" s="184"/>
      <c r="B41" s="490"/>
      <c r="C41" s="491"/>
      <c r="D41" s="492"/>
      <c r="E41" s="265"/>
      <c r="F41" s="495"/>
      <c r="G41" s="496"/>
      <c r="H41" s="506"/>
      <c r="I41" s="507"/>
      <c r="J41" s="507"/>
      <c r="K41" s="507"/>
      <c r="L41" s="507"/>
      <c r="M41" s="507"/>
      <c r="N41" s="507"/>
      <c r="O41" s="507"/>
      <c r="P41" s="507"/>
      <c r="Q41" s="508"/>
      <c r="R41" s="173"/>
      <c r="S41" s="275"/>
      <c r="T41" s="275"/>
      <c r="U41" s="275"/>
      <c r="V41" s="275"/>
      <c r="W41" s="275"/>
      <c r="X41" s="275"/>
      <c r="Y41" s="275"/>
    </row>
    <row r="42" spans="1:25">
      <c r="A42" s="184"/>
      <c r="B42" s="184"/>
      <c r="C42" s="184"/>
      <c r="D42" s="184"/>
      <c r="E42" s="184"/>
      <c r="F42" s="184"/>
      <c r="G42" s="184"/>
      <c r="H42" s="184"/>
      <c r="I42" s="184"/>
      <c r="J42" s="184"/>
      <c r="K42" s="184"/>
      <c r="L42" s="184"/>
      <c r="M42" s="184"/>
      <c r="N42" s="184"/>
      <c r="O42" s="184"/>
      <c r="P42" s="184"/>
      <c r="Q42" s="184"/>
      <c r="R42" s="184"/>
    </row>
  </sheetData>
  <sheetProtection algorithmName="SHA-512" hashValue="Hg30NeV7+k4V1eDDQx9pHlg/bt+Dw6BsNuGbcHJQGKAcM8uH06Vfx/XgeDOrxtcRQznoaaY4fLl7BxCI0ukLjg==" saltValue="RU/FNLpZXAM7m3wDSRIMsw==" spinCount="100000" sheet="1" objects="1" scenarios="1"/>
  <sortState ref="C7:K21">
    <sortCondition ref="K7:K21"/>
  </sortState>
  <mergeCells count="18">
    <mergeCell ref="J3:K3"/>
    <mergeCell ref="P5:Q5"/>
    <mergeCell ref="H32:Q41"/>
    <mergeCell ref="F32:G32"/>
    <mergeCell ref="F35:G35"/>
    <mergeCell ref="F36:G36"/>
    <mergeCell ref="F37:G37"/>
    <mergeCell ref="D2:F2"/>
    <mergeCell ref="E3:I3"/>
    <mergeCell ref="F38:G38"/>
    <mergeCell ref="F39:G39"/>
    <mergeCell ref="F40:G40"/>
    <mergeCell ref="B32:D34"/>
    <mergeCell ref="B35:D41"/>
    <mergeCell ref="E35:E36"/>
    <mergeCell ref="F41:G41"/>
    <mergeCell ref="F33:G33"/>
    <mergeCell ref="F34:G34"/>
  </mergeCells>
  <phoneticPr fontId="3"/>
  <dataValidations count="9">
    <dataValidation type="list" allowBlank="1" showInputMessage="1" showErrorMessage="1" sqref="P2 F37:G37">
      <formula1>開催日</formula1>
    </dataValidation>
    <dataValidation type="list" allowBlank="1" showInputMessage="1" showErrorMessage="1" sqref="Q2">
      <formula1>時刻</formula1>
    </dataValidation>
    <dataValidation type="list" allowBlank="1" showInputMessage="1" showErrorMessage="1" sqref="J3:K3">
      <formula1>暫定</formula1>
    </dataValidation>
    <dataValidation type="list" allowBlank="1" showInputMessage="1" showErrorMessage="1" sqref="G2">
      <formula1>月</formula1>
    </dataValidation>
    <dataValidation type="list" allowBlank="1" showInputMessage="1" showErrorMessage="1" sqref="N2">
      <formula1>コース</formula1>
    </dataValidation>
    <dataValidation type="list" showInputMessage="1" showErrorMessage="1" sqref="E3">
      <formula1>レース名</formula1>
    </dataValidation>
    <dataValidation type="list" allowBlank="1" showInputMessage="1" showErrorMessage="1" sqref="I6">
      <formula1>ＴＡ</formula1>
    </dataValidation>
    <dataValidation type="list" allowBlank="1" showInputMessage="1" showErrorMessage="1" sqref="D3">
      <formula1>レース番号</formula1>
    </dataValidation>
    <dataValidation type="list" errorStyle="warning" allowBlank="1" showInputMessage="1" showErrorMessage="1" sqref="F38:G38">
      <formula1>コース</formula1>
    </dataValidation>
  </dataValidations>
  <pageMargins left="0.31496062992125984" right="0" top="0.35433070866141736" bottom="0.19685039370078741" header="0" footer="0"/>
  <pageSetup paperSize="9" orientation="landscape" horizontalDpi="4294967293"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3"/>
  <sheetViews>
    <sheetView zoomScale="85" zoomScaleNormal="85" workbookViewId="0">
      <selection activeCell="F35" sqref="F35:G35"/>
    </sheetView>
  </sheetViews>
  <sheetFormatPr defaultRowHeight="13.5"/>
  <cols>
    <col min="1" max="1" width="1.75" customWidth="1"/>
    <col min="2" max="2" width="5" customWidth="1"/>
    <col min="3" max="3" width="7" customWidth="1"/>
    <col min="4" max="4" width="18" customWidth="1"/>
    <col min="5" max="5" width="8" customWidth="1"/>
    <col min="6" max="6" width="5" customWidth="1"/>
    <col min="7" max="7" width="10.875" customWidth="1"/>
    <col min="8" max="8" width="8.375" customWidth="1"/>
    <col min="9" max="9" width="8.75" customWidth="1"/>
    <col min="10" max="10" width="5" customWidth="1"/>
    <col min="11" max="11" width="8.5" customWidth="1"/>
    <col min="12" max="12" width="10.875" customWidth="1"/>
    <col min="13" max="13" width="9.5" customWidth="1"/>
    <col min="14" max="14" width="7.875" customWidth="1"/>
    <col min="15" max="15" width="8" customWidth="1"/>
    <col min="16" max="16" width="11.25" customWidth="1"/>
    <col min="17" max="17" width="12.25" customWidth="1"/>
    <col min="18" max="18" width="1.875" customWidth="1"/>
    <col min="19" max="19" width="4.875" customWidth="1"/>
    <col min="20" max="22" width="7.625" customWidth="1"/>
    <col min="23" max="23" width="7.75" customWidth="1"/>
    <col min="24" max="25" width="7.625" customWidth="1"/>
    <col min="26" max="26" width="4.5" customWidth="1"/>
    <col min="27" max="29" width="8" customWidth="1"/>
  </cols>
  <sheetData>
    <row r="1" spans="1:29" ht="9.75" customHeight="1" thickBot="1">
      <c r="A1" s="266"/>
      <c r="B1" s="184"/>
      <c r="C1" s="184"/>
      <c r="D1" s="184"/>
      <c r="E1" s="184"/>
      <c r="F1" s="184"/>
      <c r="G1" s="184"/>
      <c r="H1" s="184"/>
      <c r="I1" s="184"/>
      <c r="J1" s="184"/>
      <c r="K1" s="184"/>
      <c r="L1" s="184"/>
      <c r="M1" s="184"/>
      <c r="N1" s="184"/>
      <c r="O1" s="184"/>
      <c r="P1" s="184"/>
      <c r="Q1" s="184"/>
      <c r="R1" s="184"/>
      <c r="S1" s="184"/>
    </row>
    <row r="2" spans="1:29" ht="21">
      <c r="A2" s="266"/>
      <c r="B2" s="173"/>
      <c r="C2" s="174"/>
      <c r="D2" s="471" t="str">
        <f>参照ﾃﾞｰﾀ!P4</f>
        <v>2019年</v>
      </c>
      <c r="E2" s="471"/>
      <c r="F2" s="471"/>
      <c r="G2" s="175" t="s">
        <v>190</v>
      </c>
      <c r="H2" s="176"/>
      <c r="I2" s="177"/>
      <c r="J2" s="173"/>
      <c r="K2" s="178"/>
      <c r="L2" s="173"/>
      <c r="M2" s="179" t="s">
        <v>52</v>
      </c>
      <c r="N2" s="180" t="s">
        <v>74</v>
      </c>
      <c r="O2" s="181" t="s">
        <v>54</v>
      </c>
      <c r="P2" s="182">
        <v>43513</v>
      </c>
      <c r="Q2" s="183">
        <v>0.4375</v>
      </c>
      <c r="R2" s="270"/>
      <c r="S2" s="173"/>
      <c r="T2" s="41" t="s">
        <v>2</v>
      </c>
      <c r="U2" s="1"/>
      <c r="V2" s="1"/>
      <c r="W2" s="1"/>
      <c r="X2" s="1"/>
      <c r="Y2" s="1"/>
      <c r="Z2" s="1"/>
    </row>
    <row r="3" spans="1:29" ht="21.75" customHeight="1" thickBot="1">
      <c r="A3" s="266"/>
      <c r="B3" s="173"/>
      <c r="C3" s="184"/>
      <c r="D3" s="185" t="s">
        <v>246</v>
      </c>
      <c r="E3" s="472" t="s">
        <v>64</v>
      </c>
      <c r="F3" s="472"/>
      <c r="G3" s="472"/>
      <c r="H3" s="472"/>
      <c r="I3" s="472"/>
      <c r="J3" s="497" t="s">
        <v>86</v>
      </c>
      <c r="K3" s="497"/>
      <c r="L3" s="173"/>
      <c r="M3" s="186" t="s">
        <v>75</v>
      </c>
      <c r="N3" s="187">
        <f>IF(ISBLANK(N2),"",VLOOKUP(N2,コース・距離,2,FALSE))</f>
        <v>11.3</v>
      </c>
      <c r="O3" s="188" t="s">
        <v>0</v>
      </c>
      <c r="P3" s="189">
        <v>17</v>
      </c>
      <c r="Q3" s="190" t="s">
        <v>1</v>
      </c>
      <c r="R3" s="271"/>
      <c r="S3" s="173"/>
      <c r="T3" s="1" t="s">
        <v>239</v>
      </c>
      <c r="U3" s="1"/>
      <c r="V3" s="1"/>
      <c r="W3" s="41" t="s">
        <v>2</v>
      </c>
      <c r="X3" s="1"/>
      <c r="Y3" s="1"/>
      <c r="Z3" s="1"/>
      <c r="AA3" s="54" t="s">
        <v>76</v>
      </c>
    </row>
    <row r="4" spans="1:29" ht="7.5" customHeight="1" thickBot="1">
      <c r="A4" s="266"/>
      <c r="B4" s="173"/>
      <c r="C4" s="173"/>
      <c r="D4" s="173"/>
      <c r="E4" s="173"/>
      <c r="F4" s="173"/>
      <c r="G4" s="173"/>
      <c r="H4" s="173"/>
      <c r="I4" s="173"/>
      <c r="J4" s="173"/>
      <c r="K4" s="173"/>
      <c r="L4" s="173"/>
      <c r="M4" s="173"/>
      <c r="N4" s="173"/>
      <c r="O4" s="173"/>
      <c r="P4" s="173"/>
      <c r="Q4" s="173"/>
      <c r="R4" s="173"/>
      <c r="S4" s="173"/>
      <c r="T4" s="1"/>
      <c r="U4" s="1"/>
      <c r="V4" s="1"/>
      <c r="W4" s="22"/>
      <c r="X4" s="1"/>
      <c r="Y4" s="1"/>
      <c r="Z4" s="1"/>
    </row>
    <row r="5" spans="1:29" ht="14.25">
      <c r="A5" s="266"/>
      <c r="B5" s="191" t="s">
        <v>3</v>
      </c>
      <c r="C5" s="192" t="s">
        <v>4</v>
      </c>
      <c r="D5" s="192" t="s">
        <v>5</v>
      </c>
      <c r="E5" s="192" t="s">
        <v>6</v>
      </c>
      <c r="F5" s="192" t="s">
        <v>7</v>
      </c>
      <c r="G5" s="192" t="s">
        <v>8</v>
      </c>
      <c r="H5" s="192" t="s">
        <v>9</v>
      </c>
      <c r="I5" s="192" t="s">
        <v>10</v>
      </c>
      <c r="J5" s="192" t="s">
        <v>11</v>
      </c>
      <c r="K5" s="192" t="s">
        <v>12</v>
      </c>
      <c r="L5" s="193" t="s">
        <v>272</v>
      </c>
      <c r="M5" s="193" t="s">
        <v>269</v>
      </c>
      <c r="N5" s="192" t="s">
        <v>71</v>
      </c>
      <c r="O5" s="192" t="s">
        <v>13</v>
      </c>
      <c r="P5" s="498" t="s">
        <v>70</v>
      </c>
      <c r="Q5" s="499"/>
      <c r="R5" s="272"/>
      <c r="S5" s="268"/>
      <c r="T5" s="27" t="s">
        <v>10</v>
      </c>
      <c r="U5" s="28" t="s">
        <v>10</v>
      </c>
      <c r="V5" s="42" t="s">
        <v>10</v>
      </c>
      <c r="W5" s="27" t="s">
        <v>10</v>
      </c>
      <c r="X5" s="28" t="s">
        <v>10</v>
      </c>
      <c r="Y5" s="42" t="s">
        <v>10</v>
      </c>
      <c r="Z5" s="2"/>
      <c r="AA5" s="27" t="s">
        <v>13</v>
      </c>
      <c r="AB5" s="28" t="s">
        <v>13</v>
      </c>
      <c r="AC5" s="42" t="s">
        <v>13</v>
      </c>
    </row>
    <row r="6" spans="1:29" ht="14.25">
      <c r="A6" s="266"/>
      <c r="B6" s="194"/>
      <c r="C6" s="195" t="s">
        <v>14</v>
      </c>
      <c r="D6" s="196"/>
      <c r="E6" s="197" t="s">
        <v>15</v>
      </c>
      <c r="F6" s="197"/>
      <c r="G6" s="195" t="s">
        <v>16</v>
      </c>
      <c r="H6" s="197" t="s">
        <v>17</v>
      </c>
      <c r="I6" s="195" t="s">
        <v>236</v>
      </c>
      <c r="J6" s="197" t="s">
        <v>18</v>
      </c>
      <c r="K6" s="197" t="s">
        <v>17</v>
      </c>
      <c r="L6" s="195" t="s">
        <v>16</v>
      </c>
      <c r="M6" s="197" t="s">
        <v>46</v>
      </c>
      <c r="N6" s="197" t="s">
        <v>19</v>
      </c>
      <c r="O6" s="198" t="str">
        <f>"MAX=20"</f>
        <v>MAX=20</v>
      </c>
      <c r="P6" s="199"/>
      <c r="Q6" s="200"/>
      <c r="R6" s="268"/>
      <c r="S6" s="269"/>
      <c r="T6" s="43" t="s">
        <v>20</v>
      </c>
      <c r="U6" s="23" t="s">
        <v>22</v>
      </c>
      <c r="V6" s="44" t="s">
        <v>21</v>
      </c>
      <c r="W6" s="43" t="s">
        <v>20</v>
      </c>
      <c r="X6" s="23" t="s">
        <v>22</v>
      </c>
      <c r="Y6" s="44" t="s">
        <v>21</v>
      </c>
      <c r="Z6" s="3"/>
      <c r="AA6" s="43" t="s">
        <v>78</v>
      </c>
      <c r="AB6" s="23" t="s">
        <v>79</v>
      </c>
      <c r="AC6" s="44" t="s">
        <v>80</v>
      </c>
    </row>
    <row r="7" spans="1:29" ht="14.25">
      <c r="A7" s="266"/>
      <c r="B7" s="201">
        <v>1</v>
      </c>
      <c r="C7" s="202">
        <v>6714</v>
      </c>
      <c r="D7" s="203" t="str">
        <f t="shared" ref="D7:D23" si="0">IF(ISBLANK(C7),"",VLOOKUP(C7,各艇データ,2,FALSE))</f>
        <v>HAURAKI</v>
      </c>
      <c r="E7" s="204">
        <f t="shared" ref="E7:E22" si="1">IF($I$6="Ⅰ",T7,IF($I$6="Ⅱ",U7,IF($I$6="Ⅲ",V7,"")))</f>
        <v>8.94</v>
      </c>
      <c r="F7" s="204">
        <v>2</v>
      </c>
      <c r="G7" s="205">
        <v>0.51804398148148145</v>
      </c>
      <c r="H7" s="202">
        <f t="shared" ref="H7:H22" si="2">IFERROR(IF(G7-$Q$2&lt;=0,"",(G7-$Q$2)*86400),"")</f>
        <v>6958.9999999999973</v>
      </c>
      <c r="I7" s="206">
        <f t="shared" ref="I7:I22" si="3">IF($I$6="Ⅰ",W7,IF($I$6="Ⅱ",X7,IF($I$6="Ⅲ",Y7,"")))</f>
        <v>583</v>
      </c>
      <c r="J7" s="204"/>
      <c r="K7" s="207">
        <f t="shared" ref="K7:K22" si="4">IFERROR(H7*(1+0.01*J7)-I7*$N$3,"")</f>
        <v>371.09999999999673</v>
      </c>
      <c r="L7" s="205">
        <f t="shared" ref="L7:L22" si="5">IFERROR((K7-$K$7)/86400,"")</f>
        <v>0</v>
      </c>
      <c r="M7" s="208">
        <f t="shared" ref="M7:M27" si="6">IFERROR((K7-$K$7)/$N$3,"")</f>
        <v>0</v>
      </c>
      <c r="N7" s="209">
        <f t="shared" ref="N7:N27" si="7">IFERROR($N$3/(H7/3600),"")</f>
        <v>5.8456674809599107</v>
      </c>
      <c r="O7" s="210">
        <f>ROUND(IF($O$6="MAX=20",AA7,IF($O$6="MAX=30",AB7,IF($O$6="MAX=40",AC7,""))),1)</f>
        <v>20</v>
      </c>
      <c r="P7" s="211"/>
      <c r="Q7" s="212"/>
      <c r="R7" s="268"/>
      <c r="S7" s="268"/>
      <c r="T7" s="158">
        <f t="shared" ref="T7:T31" si="8">IF(ISBLANK(C7),"",VLOOKUP(C7,各艇データ,3,FALSE))</f>
        <v>8.9600000000000009</v>
      </c>
      <c r="U7" s="159">
        <f t="shared" ref="U7:U31" si="9">IF(ISBLANK(C7),"",VLOOKUP(C7,各艇データ,4,FALSE))</f>
        <v>8.94</v>
      </c>
      <c r="V7" s="160">
        <f t="shared" ref="V7:V31" si="10">IF(ISBLANK(C7),"",VLOOKUP(C7,各艇データ,5,FALSE))</f>
        <v>8.64</v>
      </c>
      <c r="W7" s="45">
        <f t="shared" ref="W7:W31" si="11">IF(ISBLANK(C7),"",VLOOKUP(C7,各艇データ,6,FALSE))</f>
        <v>939.9</v>
      </c>
      <c r="X7" s="20">
        <f t="shared" ref="X7:X31" si="12">IF(ISBLANK(C7),"",VLOOKUP(C7,各艇データ,7,FALSE))</f>
        <v>583</v>
      </c>
      <c r="Y7" s="46">
        <f t="shared" ref="Y7:Y31" si="13">IF(ISBLANK(C7),"",VLOOKUP(C7,各艇データ,8,FALSE))</f>
        <v>520.9</v>
      </c>
      <c r="Z7" s="2"/>
      <c r="AA7" s="50">
        <f t="shared" ref="AA7:AA31" si="14">IF(ISBLANK(B7),"",IFERROR(20*($P$3+1-$B7)/$P$3,"20.0"))</f>
        <v>20</v>
      </c>
      <c r="AB7" s="30">
        <f t="shared" ref="AB7:AB31" si="15">IF(ISBLANK(B7),"",IFERROR(30*($P$3+1-$B7)/$P$3,"30.0"))</f>
        <v>30</v>
      </c>
      <c r="AC7" s="51">
        <f t="shared" ref="AC7:AC31" si="16">IF(ISBLANK(B7),"",IFERROR(30*($P$3-$B7)/($P$3-1)+10,"20.0"))</f>
        <v>40</v>
      </c>
    </row>
    <row r="8" spans="1:29" ht="14.25">
      <c r="A8" s="266"/>
      <c r="B8" s="213">
        <v>2</v>
      </c>
      <c r="C8" s="214">
        <v>5752</v>
      </c>
      <c r="D8" s="215" t="str">
        <f t="shared" si="0"/>
        <v>アルファ</v>
      </c>
      <c r="E8" s="216">
        <f t="shared" si="1"/>
        <v>10.18</v>
      </c>
      <c r="F8" s="216">
        <v>1</v>
      </c>
      <c r="G8" s="217">
        <v>0.51746527777777784</v>
      </c>
      <c r="H8" s="214">
        <f t="shared" si="2"/>
        <v>6909.0000000000055</v>
      </c>
      <c r="I8" s="218">
        <f t="shared" si="3"/>
        <v>557</v>
      </c>
      <c r="J8" s="216"/>
      <c r="K8" s="219">
        <f t="shared" si="4"/>
        <v>614.90000000000509</v>
      </c>
      <c r="L8" s="217">
        <f t="shared" si="5"/>
        <v>2.8217592592593562E-3</v>
      </c>
      <c r="M8" s="220">
        <f t="shared" si="6"/>
        <v>21.575221238938791</v>
      </c>
      <c r="N8" s="221">
        <f t="shared" si="7"/>
        <v>5.8879722101606555</v>
      </c>
      <c r="O8" s="222">
        <f t="shared" ref="O8:O16" si="17">ROUND(IF($O$6="MAX=20",AA8,IF($O$6="MAX=30",AB8,IF($O$6="MAX=40",AC8,""))),1)</f>
        <v>18.8</v>
      </c>
      <c r="P8" s="223"/>
      <c r="Q8" s="224"/>
      <c r="R8" s="268"/>
      <c r="S8" s="268"/>
      <c r="T8" s="158">
        <f t="shared" si="8"/>
        <v>10.43</v>
      </c>
      <c r="U8" s="159">
        <f t="shared" si="9"/>
        <v>10.18</v>
      </c>
      <c r="V8" s="160">
        <f t="shared" si="10"/>
        <v>9.92</v>
      </c>
      <c r="W8" s="45">
        <f t="shared" si="11"/>
        <v>892.7</v>
      </c>
      <c r="X8" s="20">
        <f t="shared" si="12"/>
        <v>557</v>
      </c>
      <c r="Y8" s="46">
        <f t="shared" si="13"/>
        <v>492.1</v>
      </c>
      <c r="Z8" s="2"/>
      <c r="AA8" s="50">
        <f t="shared" si="14"/>
        <v>18.823529411764707</v>
      </c>
      <c r="AB8" s="30">
        <f t="shared" si="15"/>
        <v>28.235294117647058</v>
      </c>
      <c r="AC8" s="51">
        <f t="shared" si="16"/>
        <v>38.125</v>
      </c>
    </row>
    <row r="9" spans="1:29" ht="14.25">
      <c r="A9" s="266"/>
      <c r="B9" s="213">
        <v>3</v>
      </c>
      <c r="C9" s="214">
        <v>6732</v>
      </c>
      <c r="D9" s="215" t="str">
        <f t="shared" si="0"/>
        <v>アイデアル</v>
      </c>
      <c r="E9" s="216">
        <f t="shared" si="1"/>
        <v>9.1300000000000008</v>
      </c>
      <c r="F9" s="216">
        <v>3</v>
      </c>
      <c r="G9" s="217">
        <v>0.52048611111111109</v>
      </c>
      <c r="H9" s="214">
        <f t="shared" si="2"/>
        <v>7169.9999999999982</v>
      </c>
      <c r="I9" s="218">
        <f t="shared" si="3"/>
        <v>578.79999999999995</v>
      </c>
      <c r="J9" s="216"/>
      <c r="K9" s="219">
        <f t="shared" si="4"/>
        <v>629.55999999999858</v>
      </c>
      <c r="L9" s="217">
        <f t="shared" si="5"/>
        <v>2.9914351851852068E-3</v>
      </c>
      <c r="M9" s="220">
        <f t="shared" si="6"/>
        <v>22.872566371681579</v>
      </c>
      <c r="N9" s="221">
        <f t="shared" si="7"/>
        <v>5.6736401673640184</v>
      </c>
      <c r="O9" s="222">
        <f t="shared" si="17"/>
        <v>17.600000000000001</v>
      </c>
      <c r="P9" s="223"/>
      <c r="Q9" s="224"/>
      <c r="R9" s="268"/>
      <c r="S9" s="268"/>
      <c r="T9" s="158">
        <f t="shared" si="8"/>
        <v>9.59</v>
      </c>
      <c r="U9" s="159">
        <f t="shared" si="9"/>
        <v>9.1300000000000008</v>
      </c>
      <c r="V9" s="160">
        <f t="shared" si="10"/>
        <v>8.76</v>
      </c>
      <c r="W9" s="45">
        <f t="shared" si="11"/>
        <v>918.4</v>
      </c>
      <c r="X9" s="20">
        <f t="shared" si="12"/>
        <v>578.79999999999995</v>
      </c>
      <c r="Y9" s="46">
        <f t="shared" si="13"/>
        <v>518</v>
      </c>
      <c r="Z9" s="2"/>
      <c r="AA9" s="50">
        <f t="shared" si="14"/>
        <v>17.647058823529413</v>
      </c>
      <c r="AB9" s="30">
        <f t="shared" si="15"/>
        <v>26.470588235294116</v>
      </c>
      <c r="AC9" s="51">
        <f t="shared" si="16"/>
        <v>36.25</v>
      </c>
    </row>
    <row r="10" spans="1:29" ht="14.25">
      <c r="A10" s="266"/>
      <c r="B10" s="213">
        <v>4</v>
      </c>
      <c r="C10" s="214">
        <v>150</v>
      </c>
      <c r="D10" s="215" t="str">
        <f t="shared" si="0"/>
        <v>SHARK X</v>
      </c>
      <c r="E10" s="216">
        <f t="shared" si="1"/>
        <v>8.68</v>
      </c>
      <c r="F10" s="216">
        <v>4</v>
      </c>
      <c r="G10" s="217">
        <v>0.5224537037037037</v>
      </c>
      <c r="H10" s="214">
        <f t="shared" si="2"/>
        <v>7339.9999999999991</v>
      </c>
      <c r="I10" s="218">
        <f t="shared" si="3"/>
        <v>588.9</v>
      </c>
      <c r="J10" s="216"/>
      <c r="K10" s="219">
        <f t="shared" si="4"/>
        <v>685.42999999999938</v>
      </c>
      <c r="L10" s="217">
        <f t="shared" si="5"/>
        <v>3.6380787037037345E-3</v>
      </c>
      <c r="M10" s="220">
        <f t="shared" si="6"/>
        <v>27.816814159292267</v>
      </c>
      <c r="N10" s="221">
        <f t="shared" si="7"/>
        <v>5.5422343324250685</v>
      </c>
      <c r="O10" s="222">
        <f t="shared" si="17"/>
        <v>16.5</v>
      </c>
      <c r="P10" s="223"/>
      <c r="Q10" s="224"/>
      <c r="R10" s="268"/>
      <c r="S10" s="268"/>
      <c r="T10" s="158">
        <f t="shared" si="8"/>
        <v>9.06</v>
      </c>
      <c r="U10" s="159">
        <f t="shared" si="9"/>
        <v>8.68</v>
      </c>
      <c r="V10" s="160">
        <f t="shared" si="10"/>
        <v>8.5</v>
      </c>
      <c r="W10" s="45">
        <f t="shared" si="11"/>
        <v>936.4</v>
      </c>
      <c r="X10" s="20">
        <f t="shared" si="12"/>
        <v>588.9</v>
      </c>
      <c r="Y10" s="46">
        <f t="shared" si="13"/>
        <v>524.4</v>
      </c>
      <c r="Z10" s="2"/>
      <c r="AA10" s="50">
        <f t="shared" si="14"/>
        <v>16.470588235294116</v>
      </c>
      <c r="AB10" s="30">
        <f t="shared" si="15"/>
        <v>24.705882352941178</v>
      </c>
      <c r="AC10" s="51">
        <f t="shared" si="16"/>
        <v>34.375</v>
      </c>
    </row>
    <row r="11" spans="1:29" ht="14.25">
      <c r="A11" s="266"/>
      <c r="B11" s="225">
        <v>5</v>
      </c>
      <c r="C11" s="226">
        <v>3387</v>
      </c>
      <c r="D11" s="227" t="str">
        <f t="shared" si="0"/>
        <v>BASIC</v>
      </c>
      <c r="E11" s="228">
        <f t="shared" si="1"/>
        <v>8.51</v>
      </c>
      <c r="F11" s="228">
        <v>5</v>
      </c>
      <c r="G11" s="229">
        <v>0.52453703703703702</v>
      </c>
      <c r="H11" s="230">
        <f t="shared" si="2"/>
        <v>7519.9999999999991</v>
      </c>
      <c r="I11" s="231">
        <f t="shared" si="3"/>
        <v>593.29999999999995</v>
      </c>
      <c r="J11" s="232"/>
      <c r="K11" s="233">
        <f t="shared" si="4"/>
        <v>815.70999999999913</v>
      </c>
      <c r="L11" s="234">
        <f t="shared" si="5"/>
        <v>5.1459490740741022E-3</v>
      </c>
      <c r="M11" s="235">
        <f t="shared" si="6"/>
        <v>39.346017699115251</v>
      </c>
      <c r="N11" s="236">
        <f t="shared" si="7"/>
        <v>5.4095744680851077</v>
      </c>
      <c r="O11" s="237">
        <f t="shared" si="17"/>
        <v>15.3</v>
      </c>
      <c r="P11" s="238"/>
      <c r="Q11" s="239"/>
      <c r="R11" s="268"/>
      <c r="S11" s="268"/>
      <c r="T11" s="158">
        <f t="shared" si="8"/>
        <v>9.0299999999999994</v>
      </c>
      <c r="U11" s="159">
        <f t="shared" si="9"/>
        <v>8.51</v>
      </c>
      <c r="V11" s="160">
        <f t="shared" si="10"/>
        <v>8.2899999999999991</v>
      </c>
      <c r="W11" s="45">
        <f t="shared" si="11"/>
        <v>937.5</v>
      </c>
      <c r="X11" s="20">
        <f t="shared" si="12"/>
        <v>593.29999999999995</v>
      </c>
      <c r="Y11" s="46">
        <f t="shared" si="13"/>
        <v>529.79999999999995</v>
      </c>
      <c r="Z11" s="2"/>
      <c r="AA11" s="50">
        <f t="shared" si="14"/>
        <v>15.294117647058824</v>
      </c>
      <c r="AB11" s="30">
        <f t="shared" si="15"/>
        <v>22.941176470588236</v>
      </c>
      <c r="AC11" s="51">
        <f t="shared" si="16"/>
        <v>32.5</v>
      </c>
    </row>
    <row r="12" spans="1:29" ht="14.25">
      <c r="A12" s="266"/>
      <c r="B12" s="201">
        <v>6</v>
      </c>
      <c r="C12" s="457">
        <v>1611</v>
      </c>
      <c r="D12" s="203" t="str">
        <f t="shared" si="0"/>
        <v>ﾈﾌﾟﾁｭｰﾝXⅡ</v>
      </c>
      <c r="E12" s="204">
        <f t="shared" si="1"/>
        <v>8.15</v>
      </c>
      <c r="F12" s="204">
        <v>7</v>
      </c>
      <c r="G12" s="205">
        <v>0.52787037037037032</v>
      </c>
      <c r="H12" s="202">
        <f t="shared" si="2"/>
        <v>7807.9999999999964</v>
      </c>
      <c r="I12" s="206">
        <f t="shared" si="3"/>
        <v>602.20000000000005</v>
      </c>
      <c r="J12" s="204"/>
      <c r="K12" s="207">
        <f t="shared" si="4"/>
        <v>1003.1399999999958</v>
      </c>
      <c r="L12" s="205">
        <f t="shared" si="5"/>
        <v>7.3152777777777669E-3</v>
      </c>
      <c r="M12" s="208">
        <f t="shared" si="6"/>
        <v>55.932743362831772</v>
      </c>
      <c r="N12" s="209">
        <f t="shared" si="7"/>
        <v>5.21004098360656</v>
      </c>
      <c r="O12" s="210">
        <f t="shared" si="17"/>
        <v>14.1</v>
      </c>
      <c r="P12" s="211"/>
      <c r="Q12" s="212"/>
      <c r="R12" s="268"/>
      <c r="S12" s="268"/>
      <c r="T12" s="158">
        <f t="shared" si="8"/>
        <v>8.0299999999999994</v>
      </c>
      <c r="U12" s="159">
        <f t="shared" si="9"/>
        <v>8.15</v>
      </c>
      <c r="V12" s="160">
        <f t="shared" si="10"/>
        <v>7.98</v>
      </c>
      <c r="W12" s="45">
        <f t="shared" si="11"/>
        <v>975.7</v>
      </c>
      <c r="X12" s="20">
        <f t="shared" si="12"/>
        <v>602.20000000000005</v>
      </c>
      <c r="Y12" s="46">
        <f t="shared" si="13"/>
        <v>538.1</v>
      </c>
      <c r="Z12" s="2"/>
      <c r="AA12" s="50">
        <f t="shared" si="14"/>
        <v>14.117647058823529</v>
      </c>
      <c r="AB12" s="30">
        <f t="shared" si="15"/>
        <v>21.176470588235293</v>
      </c>
      <c r="AC12" s="51">
        <f t="shared" si="16"/>
        <v>30.625</v>
      </c>
    </row>
    <row r="13" spans="1:29" ht="14.25">
      <c r="A13" s="266"/>
      <c r="B13" s="213">
        <v>7</v>
      </c>
      <c r="C13" s="214">
        <v>131</v>
      </c>
      <c r="D13" s="215" t="str">
        <f t="shared" si="0"/>
        <v>ふるたか</v>
      </c>
      <c r="E13" s="216">
        <f t="shared" si="1"/>
        <v>8.31</v>
      </c>
      <c r="F13" s="216">
        <v>6</v>
      </c>
      <c r="G13" s="217">
        <v>0.52734953703703702</v>
      </c>
      <c r="H13" s="214">
        <f t="shared" si="2"/>
        <v>7762.9999999999982</v>
      </c>
      <c r="I13" s="218">
        <f t="shared" si="3"/>
        <v>598.20000000000005</v>
      </c>
      <c r="J13" s="216"/>
      <c r="K13" s="219">
        <f t="shared" si="4"/>
        <v>1003.3399999999974</v>
      </c>
      <c r="L13" s="217">
        <f t="shared" si="5"/>
        <v>7.3175925925926004E-3</v>
      </c>
      <c r="M13" s="220">
        <f t="shared" si="6"/>
        <v>55.950442477876166</v>
      </c>
      <c r="N13" s="221">
        <f t="shared" si="7"/>
        <v>5.2402421744171077</v>
      </c>
      <c r="O13" s="222">
        <f t="shared" si="17"/>
        <v>12.9</v>
      </c>
      <c r="P13" s="223"/>
      <c r="Q13" s="224"/>
      <c r="R13" s="268"/>
      <c r="S13" s="268"/>
      <c r="T13" s="158">
        <f t="shared" si="8"/>
        <v>8.2899999999999991</v>
      </c>
      <c r="U13" s="159">
        <f t="shared" si="9"/>
        <v>8.31</v>
      </c>
      <c r="V13" s="160">
        <f t="shared" si="10"/>
        <v>8.0500000000000007</v>
      </c>
      <c r="W13" s="45">
        <f t="shared" si="11"/>
        <v>965.1</v>
      </c>
      <c r="X13" s="20">
        <f t="shared" si="12"/>
        <v>598.20000000000005</v>
      </c>
      <c r="Y13" s="46">
        <f t="shared" si="13"/>
        <v>536.29999999999995</v>
      </c>
      <c r="Z13" s="2"/>
      <c r="AA13" s="50">
        <f t="shared" si="14"/>
        <v>12.941176470588236</v>
      </c>
      <c r="AB13" s="30">
        <f t="shared" si="15"/>
        <v>19.411764705882351</v>
      </c>
      <c r="AC13" s="51">
        <f t="shared" si="16"/>
        <v>28.75</v>
      </c>
    </row>
    <row r="14" spans="1:29" ht="14.25">
      <c r="A14" s="266"/>
      <c r="B14" s="213">
        <v>8</v>
      </c>
      <c r="C14" s="214">
        <v>6735</v>
      </c>
      <c r="D14" s="215" t="str">
        <f t="shared" si="0"/>
        <v>VEGA</v>
      </c>
      <c r="E14" s="216">
        <f t="shared" si="1"/>
        <v>8.77</v>
      </c>
      <c r="F14" s="216">
        <v>10</v>
      </c>
      <c r="G14" s="217">
        <v>0.52974537037037039</v>
      </c>
      <c r="H14" s="214">
        <f t="shared" si="2"/>
        <v>7970.0000000000018</v>
      </c>
      <c r="I14" s="218">
        <f t="shared" si="3"/>
        <v>587</v>
      </c>
      <c r="J14" s="304"/>
      <c r="K14" s="219">
        <f t="shared" si="4"/>
        <v>1336.9000000000015</v>
      </c>
      <c r="L14" s="217">
        <f t="shared" si="5"/>
        <v>1.1178240740740796E-2</v>
      </c>
      <c r="M14" s="220">
        <f t="shared" si="6"/>
        <v>85.469026548672986</v>
      </c>
      <c r="N14" s="221">
        <f t="shared" si="7"/>
        <v>5.1041405269761597</v>
      </c>
      <c r="O14" s="222">
        <f t="shared" si="17"/>
        <v>11.8</v>
      </c>
      <c r="P14" s="223"/>
      <c r="Q14" s="224"/>
      <c r="R14" s="268"/>
      <c r="S14" s="268"/>
      <c r="T14" s="158">
        <f t="shared" si="8"/>
        <v>9.77</v>
      </c>
      <c r="U14" s="159">
        <f t="shared" si="9"/>
        <v>8.77</v>
      </c>
      <c r="V14" s="160">
        <f t="shared" si="10"/>
        <v>8.43</v>
      </c>
      <c r="W14" s="45">
        <f t="shared" si="11"/>
        <v>912.7</v>
      </c>
      <c r="X14" s="20">
        <f t="shared" si="12"/>
        <v>587</v>
      </c>
      <c r="Y14" s="46">
        <f t="shared" si="13"/>
        <v>526.1</v>
      </c>
      <c r="Z14" s="2"/>
      <c r="AA14" s="50">
        <f t="shared" si="14"/>
        <v>11.764705882352942</v>
      </c>
      <c r="AB14" s="30">
        <f t="shared" si="15"/>
        <v>17.647058823529413</v>
      </c>
      <c r="AC14" s="51">
        <f t="shared" si="16"/>
        <v>26.875</v>
      </c>
    </row>
    <row r="15" spans="1:29" ht="14.25">
      <c r="A15" s="266"/>
      <c r="B15" s="213">
        <v>9</v>
      </c>
      <c r="C15" s="214">
        <v>1733</v>
      </c>
      <c r="D15" s="215" t="str">
        <f t="shared" si="0"/>
        <v>ケロニア</v>
      </c>
      <c r="E15" s="216">
        <f t="shared" si="1"/>
        <v>9.57</v>
      </c>
      <c r="F15" s="216">
        <v>8</v>
      </c>
      <c r="G15" s="217">
        <v>0.52820601851851856</v>
      </c>
      <c r="H15" s="214">
        <f t="shared" si="2"/>
        <v>7837.0000000000036</v>
      </c>
      <c r="I15" s="218">
        <f t="shared" si="3"/>
        <v>569.29999999999995</v>
      </c>
      <c r="J15" s="216"/>
      <c r="K15" s="219">
        <f t="shared" si="4"/>
        <v>1403.9100000000035</v>
      </c>
      <c r="L15" s="217">
        <f t="shared" si="5"/>
        <v>1.1953819444444522E-2</v>
      </c>
      <c r="M15" s="220">
        <f t="shared" si="6"/>
        <v>91.399115044248376</v>
      </c>
      <c r="N15" s="221">
        <f t="shared" si="7"/>
        <v>5.1907617710858727</v>
      </c>
      <c r="O15" s="222">
        <f t="shared" si="17"/>
        <v>10.6</v>
      </c>
      <c r="P15" s="223"/>
      <c r="Q15" s="224"/>
      <c r="R15" s="268"/>
      <c r="S15" s="268"/>
      <c r="T15" s="158">
        <f t="shared" si="8"/>
        <v>9.67</v>
      </c>
      <c r="U15" s="159">
        <f t="shared" si="9"/>
        <v>9.57</v>
      </c>
      <c r="V15" s="160">
        <f t="shared" si="10"/>
        <v>9.4</v>
      </c>
      <c r="W15" s="45">
        <f t="shared" si="11"/>
        <v>915.7</v>
      </c>
      <c r="X15" s="20">
        <f t="shared" si="12"/>
        <v>569.29999999999995</v>
      </c>
      <c r="Y15" s="46">
        <f t="shared" si="13"/>
        <v>503.2</v>
      </c>
      <c r="Z15" s="2"/>
      <c r="AA15" s="50">
        <f t="shared" si="14"/>
        <v>10.588235294117647</v>
      </c>
      <c r="AB15" s="30">
        <f t="shared" si="15"/>
        <v>15.882352941176471</v>
      </c>
      <c r="AC15" s="51">
        <f t="shared" si="16"/>
        <v>25</v>
      </c>
    </row>
    <row r="16" spans="1:29" ht="14.25">
      <c r="A16" s="266"/>
      <c r="B16" s="225">
        <v>10</v>
      </c>
      <c r="C16" s="226">
        <v>321</v>
      </c>
      <c r="D16" s="227" t="str">
        <f t="shared" si="0"/>
        <v>かまくら</v>
      </c>
      <c r="E16" s="228">
        <f t="shared" si="1"/>
        <v>9.51</v>
      </c>
      <c r="F16" s="228">
        <v>9</v>
      </c>
      <c r="G16" s="229">
        <v>0.5290393518518518</v>
      </c>
      <c r="H16" s="226">
        <f t="shared" si="2"/>
        <v>7908.9999999999955</v>
      </c>
      <c r="I16" s="241">
        <f t="shared" si="3"/>
        <v>570.5</v>
      </c>
      <c r="J16" s="228"/>
      <c r="K16" s="243">
        <f t="shared" si="4"/>
        <v>1462.3499999999949</v>
      </c>
      <c r="L16" s="229">
        <f t="shared" si="5"/>
        <v>1.2630208333333313E-2</v>
      </c>
      <c r="M16" s="244">
        <f t="shared" si="6"/>
        <v>96.570796460176823</v>
      </c>
      <c r="N16" s="245">
        <f t="shared" si="7"/>
        <v>5.1435073966367462</v>
      </c>
      <c r="O16" s="246">
        <f t="shared" si="17"/>
        <v>9.4</v>
      </c>
      <c r="P16" s="238"/>
      <c r="Q16" s="239"/>
      <c r="R16" s="268"/>
      <c r="S16" s="268"/>
      <c r="T16" s="158">
        <f t="shared" si="8"/>
        <v>10.15</v>
      </c>
      <c r="U16" s="159">
        <f t="shared" si="9"/>
        <v>9.51</v>
      </c>
      <c r="V16" s="160">
        <f t="shared" si="10"/>
        <v>9.44</v>
      </c>
      <c r="W16" s="45">
        <f t="shared" si="11"/>
        <v>900.8</v>
      </c>
      <c r="X16" s="20">
        <f t="shared" si="12"/>
        <v>570.5</v>
      </c>
      <c r="Y16" s="46">
        <f t="shared" si="13"/>
        <v>502.2</v>
      </c>
      <c r="Z16" s="2"/>
      <c r="AA16" s="50">
        <f t="shared" si="14"/>
        <v>9.4117647058823533</v>
      </c>
      <c r="AB16" s="30">
        <f t="shared" si="15"/>
        <v>14.117647058823529</v>
      </c>
      <c r="AC16" s="51">
        <f t="shared" si="16"/>
        <v>23.125</v>
      </c>
    </row>
    <row r="17" spans="1:29" ht="14.25">
      <c r="A17" s="266"/>
      <c r="B17" s="201">
        <v>11</v>
      </c>
      <c r="C17" s="202">
        <v>1545</v>
      </c>
      <c r="D17" s="203" t="str">
        <f t="shared" si="0"/>
        <v>ﾌﾙｰﾄﾞﾘｽⅦ</v>
      </c>
      <c r="E17" s="204">
        <f t="shared" si="1"/>
        <v>8.4600000000000009</v>
      </c>
      <c r="F17" s="204">
        <v>11</v>
      </c>
      <c r="G17" s="205">
        <v>0.53575231481481478</v>
      </c>
      <c r="H17" s="247">
        <f t="shared" si="2"/>
        <v>8488.9999999999964</v>
      </c>
      <c r="I17" s="248">
        <f t="shared" si="3"/>
        <v>594.29999999999995</v>
      </c>
      <c r="J17" s="249"/>
      <c r="K17" s="250">
        <f t="shared" si="4"/>
        <v>1773.4099999999962</v>
      </c>
      <c r="L17" s="251">
        <f t="shared" si="5"/>
        <v>1.6230439814814809E-2</v>
      </c>
      <c r="M17" s="252">
        <f t="shared" si="6"/>
        <v>124.09823008849553</v>
      </c>
      <c r="N17" s="253">
        <f t="shared" si="7"/>
        <v>4.7920838732477344</v>
      </c>
      <c r="O17" s="254">
        <f>ROUND(IF($O$6="MAX=20",AA17,IF($O$6="MAX=30",AB17,IF($O$6="MAX=40",AC17,""))),1)</f>
        <v>8.1999999999999993</v>
      </c>
      <c r="P17" s="211"/>
      <c r="Q17" s="212"/>
      <c r="R17" s="268"/>
      <c r="S17" s="268"/>
      <c r="T17" s="158">
        <f t="shared" si="8"/>
        <v>8.9700000000000006</v>
      </c>
      <c r="U17" s="159">
        <f t="shared" si="9"/>
        <v>8.4600000000000009</v>
      </c>
      <c r="V17" s="160">
        <f t="shared" si="10"/>
        <v>8.1999999999999993</v>
      </c>
      <c r="W17" s="45">
        <f t="shared" si="11"/>
        <v>939.7</v>
      </c>
      <c r="X17" s="20">
        <f t="shared" si="12"/>
        <v>594.29999999999995</v>
      </c>
      <c r="Y17" s="46">
        <f t="shared" si="13"/>
        <v>532.1</v>
      </c>
      <c r="Z17" s="2"/>
      <c r="AA17" s="50">
        <f t="shared" si="14"/>
        <v>8.235294117647058</v>
      </c>
      <c r="AB17" s="30">
        <f t="shared" si="15"/>
        <v>12.352941176470589</v>
      </c>
      <c r="AC17" s="51">
        <f t="shared" si="16"/>
        <v>21.25</v>
      </c>
    </row>
    <row r="18" spans="1:29" ht="14.25">
      <c r="A18" s="266"/>
      <c r="B18" s="213">
        <v>12</v>
      </c>
      <c r="C18" s="214">
        <v>6858</v>
      </c>
      <c r="D18" s="215" t="str">
        <f t="shared" si="0"/>
        <v>Ms.M</v>
      </c>
      <c r="E18" s="216">
        <f t="shared" si="1"/>
        <v>7.99</v>
      </c>
      <c r="F18" s="216">
        <v>13</v>
      </c>
      <c r="G18" s="217">
        <v>0.53993055555555558</v>
      </c>
      <c r="H18" s="214">
        <f t="shared" si="2"/>
        <v>8850.0000000000018</v>
      </c>
      <c r="I18" s="218">
        <f t="shared" si="3"/>
        <v>606.4</v>
      </c>
      <c r="J18" s="216"/>
      <c r="K18" s="219">
        <f t="shared" si="4"/>
        <v>1997.6800000000012</v>
      </c>
      <c r="L18" s="217">
        <f t="shared" si="5"/>
        <v>1.8826157407407458E-2</v>
      </c>
      <c r="M18" s="220">
        <f t="shared" si="6"/>
        <v>143.94513274336322</v>
      </c>
      <c r="N18" s="221">
        <f t="shared" si="7"/>
        <v>4.5966101694915249</v>
      </c>
      <c r="O18" s="222">
        <f t="shared" ref="O18:O21" si="18">ROUND(IF($O$6="MAX=20",AA18,IF($O$6="MAX=30",AB18,IF($O$6="MAX=40",AC18,""))),1)</f>
        <v>7.1</v>
      </c>
      <c r="P18" s="223"/>
      <c r="Q18" s="224"/>
      <c r="R18" s="268"/>
      <c r="S18" s="268"/>
      <c r="T18" s="158">
        <f t="shared" si="8"/>
        <v>9.41</v>
      </c>
      <c r="U18" s="159">
        <f t="shared" si="9"/>
        <v>7.99</v>
      </c>
      <c r="V18" s="160">
        <f t="shared" si="10"/>
        <v>8.3800000000000008</v>
      </c>
      <c r="W18" s="45">
        <f t="shared" si="11"/>
        <v>924.6</v>
      </c>
      <c r="X18" s="20">
        <f t="shared" si="12"/>
        <v>606.4</v>
      </c>
      <c r="Y18" s="46">
        <f t="shared" si="13"/>
        <v>527.4</v>
      </c>
      <c r="Z18" s="2"/>
      <c r="AA18" s="50">
        <f t="shared" si="14"/>
        <v>7.0588235294117645</v>
      </c>
      <c r="AB18" s="30">
        <f t="shared" si="15"/>
        <v>10.588235294117647</v>
      </c>
      <c r="AC18" s="51">
        <f t="shared" si="16"/>
        <v>19.375</v>
      </c>
    </row>
    <row r="19" spans="1:29" ht="14.25">
      <c r="A19" s="266"/>
      <c r="B19" s="213">
        <v>13</v>
      </c>
      <c r="C19" s="214">
        <v>199</v>
      </c>
      <c r="D19" s="215" t="str">
        <f t="shared" si="0"/>
        <v>サ－モン4</v>
      </c>
      <c r="E19" s="216">
        <f t="shared" si="1"/>
        <v>9.15</v>
      </c>
      <c r="F19" s="216">
        <v>12</v>
      </c>
      <c r="G19" s="217">
        <v>0.53753472222222221</v>
      </c>
      <c r="H19" s="214">
        <f t="shared" si="2"/>
        <v>8642.9999999999982</v>
      </c>
      <c r="I19" s="218">
        <f t="shared" si="3"/>
        <v>578.20000000000005</v>
      </c>
      <c r="J19" s="216"/>
      <c r="K19" s="219">
        <f t="shared" si="4"/>
        <v>2109.3399999999974</v>
      </c>
      <c r="L19" s="217">
        <f t="shared" si="5"/>
        <v>2.0118518518518525E-2</v>
      </c>
      <c r="M19" s="220">
        <f t="shared" si="6"/>
        <v>153.82654867256642</v>
      </c>
      <c r="N19" s="221">
        <f t="shared" si="7"/>
        <v>4.7066990628254093</v>
      </c>
      <c r="O19" s="222">
        <f t="shared" si="18"/>
        <v>5.9</v>
      </c>
      <c r="P19" s="223"/>
      <c r="Q19" s="224"/>
      <c r="R19" s="268"/>
      <c r="S19" s="268"/>
      <c r="T19" s="158">
        <f t="shared" si="8"/>
        <v>8.99</v>
      </c>
      <c r="U19" s="159">
        <f t="shared" si="9"/>
        <v>9.15</v>
      </c>
      <c r="V19" s="160">
        <f t="shared" si="10"/>
        <v>9.1</v>
      </c>
      <c r="W19" s="45">
        <f t="shared" si="11"/>
        <v>939</v>
      </c>
      <c r="X19" s="20">
        <f t="shared" si="12"/>
        <v>578.20000000000005</v>
      </c>
      <c r="Y19" s="46">
        <f t="shared" si="13"/>
        <v>509.9</v>
      </c>
      <c r="Z19" s="2"/>
      <c r="AA19" s="50">
        <f t="shared" si="14"/>
        <v>5.882352941176471</v>
      </c>
      <c r="AB19" s="30">
        <f t="shared" si="15"/>
        <v>8.8235294117647065</v>
      </c>
      <c r="AC19" s="51">
        <f t="shared" si="16"/>
        <v>17.5</v>
      </c>
    </row>
    <row r="20" spans="1:29" ht="14.25">
      <c r="A20" s="266"/>
      <c r="B20" s="213">
        <v>14</v>
      </c>
      <c r="C20" s="214">
        <v>162</v>
      </c>
      <c r="D20" s="215" t="str">
        <f t="shared" si="0"/>
        <v>ﾌｪﾆｯｸｽ</v>
      </c>
      <c r="E20" s="216">
        <f t="shared" si="1"/>
        <v>6.84</v>
      </c>
      <c r="F20" s="216">
        <v>14</v>
      </c>
      <c r="G20" s="217">
        <v>0.54998842592592589</v>
      </c>
      <c r="H20" s="214">
        <f t="shared" si="2"/>
        <v>9718.9999999999982</v>
      </c>
      <c r="I20" s="218">
        <f t="shared" si="3"/>
        <v>640.4</v>
      </c>
      <c r="J20" s="216"/>
      <c r="K20" s="219">
        <f t="shared" si="4"/>
        <v>2482.4799999999977</v>
      </c>
      <c r="L20" s="217">
        <f t="shared" si="5"/>
        <v>2.4437268518518532E-2</v>
      </c>
      <c r="M20" s="220">
        <f t="shared" si="6"/>
        <v>186.84778761061955</v>
      </c>
      <c r="N20" s="221">
        <f t="shared" si="7"/>
        <v>4.1856158040950726</v>
      </c>
      <c r="O20" s="222">
        <f t="shared" si="18"/>
        <v>4.7</v>
      </c>
      <c r="P20" s="223"/>
      <c r="Q20" s="224"/>
      <c r="R20" s="268"/>
      <c r="S20" s="268"/>
      <c r="T20" s="158">
        <f t="shared" si="8"/>
        <v>6.96</v>
      </c>
      <c r="U20" s="159">
        <f t="shared" si="9"/>
        <v>6.84</v>
      </c>
      <c r="V20" s="160">
        <f t="shared" si="10"/>
        <v>6.95</v>
      </c>
      <c r="W20" s="45">
        <f t="shared" si="11"/>
        <v>1024.3</v>
      </c>
      <c r="X20" s="20">
        <f t="shared" si="12"/>
        <v>640.4</v>
      </c>
      <c r="Y20" s="46">
        <f t="shared" si="13"/>
        <v>569.4</v>
      </c>
      <c r="Z20" s="2"/>
      <c r="AA20" s="50">
        <f t="shared" si="14"/>
        <v>4.7058823529411766</v>
      </c>
      <c r="AB20" s="30">
        <f t="shared" si="15"/>
        <v>7.0588235294117645</v>
      </c>
      <c r="AC20" s="51">
        <f t="shared" si="16"/>
        <v>15.625</v>
      </c>
    </row>
    <row r="21" spans="1:29" ht="14.25">
      <c r="A21" s="266"/>
      <c r="B21" s="225">
        <v>15</v>
      </c>
      <c r="C21" s="226">
        <v>5755</v>
      </c>
      <c r="D21" s="215" t="str">
        <f t="shared" si="0"/>
        <v>ランカ</v>
      </c>
      <c r="E21" s="228">
        <f t="shared" si="1"/>
        <v>8.2100000000000009</v>
      </c>
      <c r="F21" s="228">
        <v>15</v>
      </c>
      <c r="G21" s="229">
        <v>0.55082175925925925</v>
      </c>
      <c r="H21" s="226">
        <f t="shared" si="2"/>
        <v>9790.9999999999982</v>
      </c>
      <c r="I21" s="241">
        <f t="shared" si="3"/>
        <v>600.5</v>
      </c>
      <c r="J21" s="228"/>
      <c r="K21" s="243">
        <f t="shared" si="4"/>
        <v>3005.3499999999976</v>
      </c>
      <c r="L21" s="229">
        <f t="shared" si="5"/>
        <v>3.048900462962964E-2</v>
      </c>
      <c r="M21" s="244">
        <f t="shared" si="6"/>
        <v>233.11946902654873</v>
      </c>
      <c r="N21" s="245">
        <f t="shared" si="7"/>
        <v>4.1548360739454608</v>
      </c>
      <c r="O21" s="246">
        <f t="shared" si="18"/>
        <v>3.5</v>
      </c>
      <c r="P21" s="238"/>
      <c r="Q21" s="239"/>
      <c r="R21" s="268"/>
      <c r="S21" s="268"/>
      <c r="T21" s="158">
        <f t="shared" si="8"/>
        <v>8.25</v>
      </c>
      <c r="U21" s="159">
        <f t="shared" si="9"/>
        <v>8.2100000000000009</v>
      </c>
      <c r="V21" s="160">
        <f t="shared" si="10"/>
        <v>8.1300000000000008</v>
      </c>
      <c r="W21" s="45">
        <f t="shared" si="11"/>
        <v>966.8</v>
      </c>
      <c r="X21" s="20">
        <f t="shared" si="12"/>
        <v>600.5</v>
      </c>
      <c r="Y21" s="46">
        <f t="shared" si="13"/>
        <v>534.1</v>
      </c>
      <c r="Z21" s="2"/>
      <c r="AA21" s="50">
        <f t="shared" si="14"/>
        <v>3.5294117647058822</v>
      </c>
      <c r="AB21" s="30">
        <f t="shared" si="15"/>
        <v>5.2941176470588234</v>
      </c>
      <c r="AC21" s="51">
        <f t="shared" si="16"/>
        <v>13.75</v>
      </c>
    </row>
    <row r="22" spans="1:29" ht="14.25">
      <c r="A22" s="266"/>
      <c r="B22" s="255">
        <v>16</v>
      </c>
      <c r="C22" s="247">
        <v>346</v>
      </c>
      <c r="D22" s="203" t="str">
        <f t="shared" si="0"/>
        <v>飛車角</v>
      </c>
      <c r="E22" s="204">
        <f t="shared" si="1"/>
        <v>8.58</v>
      </c>
      <c r="F22" s="204">
        <v>15</v>
      </c>
      <c r="G22" s="251">
        <v>0.55371527777777774</v>
      </c>
      <c r="H22" s="247">
        <f t="shared" si="2"/>
        <v>10040.999999999996</v>
      </c>
      <c r="I22" s="248">
        <f t="shared" si="3"/>
        <v>591.5</v>
      </c>
      <c r="J22" s="249"/>
      <c r="K22" s="250">
        <f t="shared" si="4"/>
        <v>3357.0499999999956</v>
      </c>
      <c r="L22" s="251">
        <f t="shared" si="5"/>
        <v>3.4559606481481465E-2</v>
      </c>
      <c r="M22" s="252">
        <f t="shared" si="6"/>
        <v>264.24336283185829</v>
      </c>
      <c r="N22" s="253">
        <f t="shared" si="7"/>
        <v>4.051389303854199</v>
      </c>
      <c r="O22" s="254">
        <f t="shared" ref="O22" si="19">ROUND(IF($O$6="MAX=20",AA22,IF($O$6="MAX=30",AB22,IF($O$6="MAX=40",AC22,""))),1)</f>
        <v>2.4</v>
      </c>
      <c r="P22" s="223"/>
      <c r="Q22" s="256"/>
      <c r="R22" s="268"/>
      <c r="S22" s="268"/>
      <c r="T22" s="158">
        <f t="shared" si="8"/>
        <v>8.4</v>
      </c>
      <c r="U22" s="159">
        <f t="shared" si="9"/>
        <v>8.58</v>
      </c>
      <c r="V22" s="160">
        <f t="shared" si="10"/>
        <v>8.68</v>
      </c>
      <c r="W22" s="45">
        <f t="shared" si="11"/>
        <v>960.8</v>
      </c>
      <c r="X22" s="20">
        <f t="shared" si="12"/>
        <v>591.5</v>
      </c>
      <c r="Y22" s="46">
        <f t="shared" si="13"/>
        <v>519.79999999999995</v>
      </c>
      <c r="Z22" s="2"/>
      <c r="AA22" s="50">
        <f t="shared" si="14"/>
        <v>2.3529411764705883</v>
      </c>
      <c r="AB22" s="30">
        <f t="shared" si="15"/>
        <v>3.5294117647058822</v>
      </c>
      <c r="AC22" s="51">
        <f t="shared" si="16"/>
        <v>11.875</v>
      </c>
    </row>
    <row r="23" spans="1:29" ht="14.25">
      <c r="A23" s="266"/>
      <c r="B23" s="213">
        <v>17</v>
      </c>
      <c r="C23" s="214">
        <v>1985</v>
      </c>
      <c r="D23" s="215" t="str">
        <f t="shared" si="0"/>
        <v>波勝</v>
      </c>
      <c r="E23" s="216"/>
      <c r="F23" s="216"/>
      <c r="G23" s="217"/>
      <c r="H23" s="214"/>
      <c r="I23" s="218"/>
      <c r="J23" s="216"/>
      <c r="K23" s="219"/>
      <c r="L23" s="217"/>
      <c r="M23" s="220"/>
      <c r="N23" s="221"/>
      <c r="O23" s="222">
        <v>1</v>
      </c>
      <c r="P23" s="257" t="s">
        <v>348</v>
      </c>
      <c r="Q23" s="224"/>
      <c r="R23" s="268"/>
      <c r="S23" s="268"/>
      <c r="T23" s="158">
        <f t="shared" si="8"/>
        <v>7.23</v>
      </c>
      <c r="U23" s="159">
        <f t="shared" si="9"/>
        <v>6.85</v>
      </c>
      <c r="V23" s="160">
        <f t="shared" si="10"/>
        <v>6.8</v>
      </c>
      <c r="W23" s="45">
        <f t="shared" si="11"/>
        <v>1010.9</v>
      </c>
      <c r="X23" s="20">
        <f t="shared" si="12"/>
        <v>639.9</v>
      </c>
      <c r="Y23" s="46">
        <f t="shared" si="13"/>
        <v>574.5</v>
      </c>
      <c r="Z23" s="2"/>
      <c r="AA23" s="50">
        <f t="shared" si="14"/>
        <v>1.1764705882352942</v>
      </c>
      <c r="AB23" s="30">
        <f t="shared" si="15"/>
        <v>1.7647058823529411</v>
      </c>
      <c r="AC23" s="51">
        <f t="shared" si="16"/>
        <v>10</v>
      </c>
    </row>
    <row r="24" spans="1:29" ht="14.25">
      <c r="A24" s="266"/>
      <c r="B24" s="213"/>
      <c r="C24" s="214"/>
      <c r="D24" s="215"/>
      <c r="E24" s="216"/>
      <c r="F24" s="216"/>
      <c r="G24" s="217"/>
      <c r="H24" s="214"/>
      <c r="I24" s="218"/>
      <c r="J24" s="216"/>
      <c r="K24" s="219"/>
      <c r="L24" s="217"/>
      <c r="M24" s="220"/>
      <c r="N24" s="221"/>
      <c r="O24" s="222"/>
      <c r="P24" s="258"/>
      <c r="Q24" s="224"/>
      <c r="R24" s="268"/>
      <c r="S24" s="268"/>
      <c r="T24" s="158" t="str">
        <f t="shared" si="8"/>
        <v/>
      </c>
      <c r="U24" s="159" t="str">
        <f t="shared" si="9"/>
        <v/>
      </c>
      <c r="V24" s="160" t="str">
        <f t="shared" si="10"/>
        <v/>
      </c>
      <c r="W24" s="45" t="str">
        <f t="shared" si="11"/>
        <v/>
      </c>
      <c r="X24" s="20" t="str">
        <f t="shared" si="12"/>
        <v/>
      </c>
      <c r="Y24" s="46" t="str">
        <f t="shared" si="13"/>
        <v/>
      </c>
      <c r="Z24" s="2"/>
      <c r="AA24" s="50" t="str">
        <f t="shared" si="14"/>
        <v/>
      </c>
      <c r="AB24" s="30" t="str">
        <f t="shared" si="15"/>
        <v/>
      </c>
      <c r="AC24" s="51" t="str">
        <f t="shared" si="16"/>
        <v/>
      </c>
    </row>
    <row r="25" spans="1:29" ht="14.25">
      <c r="A25" s="266"/>
      <c r="B25" s="213"/>
      <c r="C25" s="214">
        <v>380</v>
      </c>
      <c r="D25" s="215" t="str">
        <f>IF(ISBLANK(C25),"",VLOOKUP(C25,各艇データ,2,FALSE))</f>
        <v>テティス</v>
      </c>
      <c r="E25" s="216"/>
      <c r="F25" s="216"/>
      <c r="G25" s="217"/>
      <c r="H25" s="214"/>
      <c r="I25" s="218"/>
      <c r="J25" s="216"/>
      <c r="K25" s="219"/>
      <c r="L25" s="217"/>
      <c r="M25" s="220"/>
      <c r="N25" s="221"/>
      <c r="O25" s="222">
        <v>1</v>
      </c>
      <c r="P25" s="258" t="s">
        <v>347</v>
      </c>
      <c r="Q25" s="224"/>
      <c r="R25" s="268"/>
      <c r="S25" s="268"/>
      <c r="T25" s="158">
        <f t="shared" si="8"/>
        <v>10.32</v>
      </c>
      <c r="U25" s="159">
        <f t="shared" si="9"/>
        <v>9.86</v>
      </c>
      <c r="V25" s="160">
        <f t="shared" si="10"/>
        <v>9.51</v>
      </c>
      <c r="W25" s="45">
        <f t="shared" si="11"/>
        <v>896</v>
      </c>
      <c r="X25" s="20">
        <f t="shared" si="12"/>
        <v>563.29999999999995</v>
      </c>
      <c r="Y25" s="46">
        <f t="shared" si="13"/>
        <v>500.8</v>
      </c>
      <c r="Z25" s="2"/>
      <c r="AA25" s="50" t="str">
        <f t="shared" si="14"/>
        <v/>
      </c>
      <c r="AB25" s="30" t="str">
        <f t="shared" si="15"/>
        <v/>
      </c>
      <c r="AC25" s="51" t="str">
        <f t="shared" si="16"/>
        <v/>
      </c>
    </row>
    <row r="26" spans="1:29" ht="14.25">
      <c r="A26" s="266"/>
      <c r="B26" s="225"/>
      <c r="C26" s="226"/>
      <c r="D26" s="227"/>
      <c r="E26" s="228"/>
      <c r="F26" s="228"/>
      <c r="G26" s="229"/>
      <c r="H26" s="226"/>
      <c r="I26" s="241"/>
      <c r="J26" s="228"/>
      <c r="K26" s="243"/>
      <c r="L26" s="229"/>
      <c r="M26" s="244"/>
      <c r="N26" s="245"/>
      <c r="O26" s="246"/>
      <c r="P26" s="259"/>
      <c r="Q26" s="239"/>
      <c r="R26" s="268"/>
      <c r="S26" s="268"/>
      <c r="T26" s="158" t="str">
        <f t="shared" si="8"/>
        <v/>
      </c>
      <c r="U26" s="159" t="str">
        <f t="shared" si="9"/>
        <v/>
      </c>
      <c r="V26" s="160" t="str">
        <f t="shared" si="10"/>
        <v/>
      </c>
      <c r="W26" s="45" t="str">
        <f t="shared" si="11"/>
        <v/>
      </c>
      <c r="X26" s="20" t="str">
        <f t="shared" si="12"/>
        <v/>
      </c>
      <c r="Y26" s="46" t="str">
        <f t="shared" si="13"/>
        <v/>
      </c>
      <c r="Z26" s="2"/>
      <c r="AA26" s="50" t="str">
        <f t="shared" si="14"/>
        <v/>
      </c>
      <c r="AB26" s="30" t="str">
        <f t="shared" si="15"/>
        <v/>
      </c>
      <c r="AC26" s="51" t="str">
        <f t="shared" si="16"/>
        <v/>
      </c>
    </row>
    <row r="27" spans="1:29" ht="14.25">
      <c r="A27" s="266"/>
      <c r="B27" s="255"/>
      <c r="C27" s="247"/>
      <c r="D27" s="260" t="str">
        <f t="shared" ref="D27:D31" si="20">IF(ISBLANK(C27),"",VLOOKUP(C27,各艇データ,2,FALSE))</f>
        <v/>
      </c>
      <c r="E27" s="249"/>
      <c r="F27" s="249"/>
      <c r="G27" s="251"/>
      <c r="H27" s="247" t="str">
        <f t="shared" ref="H27" si="21">IFERROR(IF(G27-$Q$2&lt;=0,"",(G27-$Q$2)*86400),"")</f>
        <v/>
      </c>
      <c r="I27" s="206"/>
      <c r="J27" s="204"/>
      <c r="K27" s="207" t="str">
        <f t="shared" ref="K27" si="22">IFERROR(H27*(1+0.01*J27)-I27*$N$3,"")</f>
        <v/>
      </c>
      <c r="L27" s="205" t="str">
        <f t="shared" ref="L27" si="23">IFERROR((K27-$K$7)/86400,"")</f>
        <v/>
      </c>
      <c r="M27" s="208" t="str">
        <f t="shared" si="6"/>
        <v/>
      </c>
      <c r="N27" s="209" t="str">
        <f t="shared" si="7"/>
        <v/>
      </c>
      <c r="O27" s="210"/>
      <c r="P27" s="261"/>
      <c r="Q27" s="256"/>
      <c r="R27" s="268"/>
      <c r="S27" s="268"/>
      <c r="T27" s="158" t="str">
        <f t="shared" si="8"/>
        <v/>
      </c>
      <c r="U27" s="159" t="str">
        <f t="shared" si="9"/>
        <v/>
      </c>
      <c r="V27" s="160" t="str">
        <f t="shared" si="10"/>
        <v/>
      </c>
      <c r="W27" s="45" t="str">
        <f t="shared" si="11"/>
        <v/>
      </c>
      <c r="X27" s="20" t="str">
        <f t="shared" si="12"/>
        <v/>
      </c>
      <c r="Y27" s="46" t="str">
        <f t="shared" si="13"/>
        <v/>
      </c>
      <c r="Z27" s="2"/>
      <c r="AA27" s="50" t="str">
        <f t="shared" si="14"/>
        <v/>
      </c>
      <c r="AB27" s="30" t="str">
        <f t="shared" si="15"/>
        <v/>
      </c>
      <c r="AC27" s="51" t="str">
        <f t="shared" si="16"/>
        <v/>
      </c>
    </row>
    <row r="28" spans="1:29" ht="14.25" customHeight="1">
      <c r="A28" s="266"/>
      <c r="B28" s="213"/>
      <c r="C28" s="214"/>
      <c r="D28" s="215"/>
      <c r="E28" s="216"/>
      <c r="F28" s="216"/>
      <c r="G28" s="217"/>
      <c r="H28" s="214"/>
      <c r="I28" s="218"/>
      <c r="J28" s="216"/>
      <c r="K28" s="219"/>
      <c r="L28" s="217"/>
      <c r="M28" s="220"/>
      <c r="N28" s="221"/>
      <c r="O28" s="222"/>
      <c r="P28" s="262"/>
      <c r="Q28" s="224"/>
      <c r="R28" s="268"/>
      <c r="S28" s="268"/>
      <c r="T28" s="158" t="str">
        <f t="shared" si="8"/>
        <v/>
      </c>
      <c r="U28" s="159" t="str">
        <f t="shared" si="9"/>
        <v/>
      </c>
      <c r="V28" s="160" t="str">
        <f t="shared" si="10"/>
        <v/>
      </c>
      <c r="W28" s="45" t="str">
        <f t="shared" si="11"/>
        <v/>
      </c>
      <c r="X28" s="20" t="str">
        <f t="shared" si="12"/>
        <v/>
      </c>
      <c r="Y28" s="46" t="str">
        <f t="shared" si="13"/>
        <v/>
      </c>
      <c r="Z28" s="2"/>
      <c r="AA28" s="50" t="str">
        <f t="shared" si="14"/>
        <v/>
      </c>
      <c r="AB28" s="30" t="str">
        <f t="shared" si="15"/>
        <v/>
      </c>
      <c r="AC28" s="51" t="str">
        <f t="shared" si="16"/>
        <v/>
      </c>
    </row>
    <row r="29" spans="1:29" ht="14.25">
      <c r="A29" s="266"/>
      <c r="B29" s="213"/>
      <c r="C29" s="214"/>
      <c r="D29" s="215" t="str">
        <f t="shared" si="20"/>
        <v/>
      </c>
      <c r="E29" s="216"/>
      <c r="F29" s="216"/>
      <c r="G29" s="217"/>
      <c r="H29" s="214"/>
      <c r="I29" s="218"/>
      <c r="J29" s="216"/>
      <c r="K29" s="219"/>
      <c r="L29" s="217"/>
      <c r="M29" s="220"/>
      <c r="N29" s="221"/>
      <c r="O29" s="222"/>
      <c r="P29" s="258"/>
      <c r="Q29" s="224"/>
      <c r="R29" s="268"/>
      <c r="S29" s="268"/>
      <c r="T29" s="158" t="str">
        <f t="shared" si="8"/>
        <v/>
      </c>
      <c r="U29" s="159" t="str">
        <f t="shared" si="9"/>
        <v/>
      </c>
      <c r="V29" s="160" t="str">
        <f t="shared" si="10"/>
        <v/>
      </c>
      <c r="W29" s="45" t="str">
        <f t="shared" si="11"/>
        <v/>
      </c>
      <c r="X29" s="20" t="str">
        <f t="shared" si="12"/>
        <v/>
      </c>
      <c r="Y29" s="46" t="str">
        <f t="shared" si="13"/>
        <v/>
      </c>
      <c r="Z29" s="2"/>
      <c r="AA29" s="50" t="str">
        <f t="shared" si="14"/>
        <v/>
      </c>
      <c r="AB29" s="30" t="str">
        <f t="shared" si="15"/>
        <v/>
      </c>
      <c r="AC29" s="51" t="str">
        <f t="shared" si="16"/>
        <v/>
      </c>
    </row>
    <row r="30" spans="1:29" ht="14.25" customHeight="1">
      <c r="A30" s="266"/>
      <c r="B30" s="213"/>
      <c r="C30" s="214"/>
      <c r="D30" s="215" t="str">
        <f t="shared" si="20"/>
        <v/>
      </c>
      <c r="E30" s="216"/>
      <c r="F30" s="216"/>
      <c r="G30" s="217"/>
      <c r="H30" s="214"/>
      <c r="I30" s="218"/>
      <c r="J30" s="216"/>
      <c r="K30" s="219"/>
      <c r="L30" s="217"/>
      <c r="M30" s="220"/>
      <c r="N30" s="221"/>
      <c r="O30" s="222"/>
      <c r="P30" s="258"/>
      <c r="Q30" s="224"/>
      <c r="R30" s="268"/>
      <c r="S30" s="268"/>
      <c r="T30" s="158" t="str">
        <f t="shared" si="8"/>
        <v/>
      </c>
      <c r="U30" s="159" t="str">
        <f t="shared" si="9"/>
        <v/>
      </c>
      <c r="V30" s="160" t="str">
        <f t="shared" si="10"/>
        <v/>
      </c>
      <c r="W30" s="45" t="str">
        <f t="shared" si="11"/>
        <v/>
      </c>
      <c r="X30" s="20" t="str">
        <f t="shared" si="12"/>
        <v/>
      </c>
      <c r="Y30" s="46" t="str">
        <f t="shared" si="13"/>
        <v/>
      </c>
      <c r="Z30" s="2"/>
      <c r="AA30" s="50" t="str">
        <f t="shared" si="14"/>
        <v/>
      </c>
      <c r="AB30" s="30" t="str">
        <f t="shared" si="15"/>
        <v/>
      </c>
      <c r="AC30" s="51" t="str">
        <f t="shared" si="16"/>
        <v/>
      </c>
    </row>
    <row r="31" spans="1:29" ht="15" thickBot="1">
      <c r="A31" s="266"/>
      <c r="B31" s="213"/>
      <c r="C31" s="214"/>
      <c r="D31" s="227" t="str">
        <f t="shared" si="20"/>
        <v/>
      </c>
      <c r="E31" s="228"/>
      <c r="F31" s="216"/>
      <c r="G31" s="217"/>
      <c r="H31" s="226" t="str">
        <f>IFERROR(IF(G31-$Q$2&lt;=0,"",(G31-$Q$2)*86400),"")</f>
        <v/>
      </c>
      <c r="I31" s="241" t="str">
        <f>IF($I$6="Ⅰ",W31,IF($I$6="Ⅱ",X31,IF($I$6="Ⅲ",Y31,"")))</f>
        <v/>
      </c>
      <c r="J31" s="228"/>
      <c r="K31" s="243" t="str">
        <f>IFERROR(H31*(1+0.01*J31)-I31*$N$3,"")</f>
        <v/>
      </c>
      <c r="L31" s="229" t="str">
        <f>IFERROR((K31-$K$7)/86400,"")</f>
        <v/>
      </c>
      <c r="M31" s="244" t="str">
        <f>IFERROR((K31-$K$7)/$N$3,"")</f>
        <v/>
      </c>
      <c r="N31" s="245" t="str">
        <f>IFERROR($N$3/(H31/3600),"")</f>
        <v/>
      </c>
      <c r="O31" s="246" t="str">
        <f>IF($O$6="MAX=20",AA31,IF($O$6="MAX=30",AB31,IF($O$6="MAX=40",AC31,"")))</f>
        <v/>
      </c>
      <c r="P31" s="259"/>
      <c r="Q31" s="239"/>
      <c r="R31" s="268"/>
      <c r="S31" s="268"/>
      <c r="T31" s="161" t="str">
        <f t="shared" si="8"/>
        <v/>
      </c>
      <c r="U31" s="162" t="str">
        <f t="shared" si="9"/>
        <v/>
      </c>
      <c r="V31" s="163" t="str">
        <f t="shared" si="10"/>
        <v/>
      </c>
      <c r="W31" s="47" t="str">
        <f t="shared" si="11"/>
        <v/>
      </c>
      <c r="X31" s="48" t="str">
        <f t="shared" si="12"/>
        <v/>
      </c>
      <c r="Y31" s="49" t="str">
        <f t="shared" si="13"/>
        <v/>
      </c>
      <c r="Z31" s="2"/>
      <c r="AA31" s="52" t="str">
        <f t="shared" si="14"/>
        <v/>
      </c>
      <c r="AB31" s="53" t="str">
        <f t="shared" si="15"/>
        <v/>
      </c>
      <c r="AC31" s="21" t="str">
        <f t="shared" si="16"/>
        <v/>
      </c>
    </row>
    <row r="32" spans="1:29" ht="15" customHeight="1">
      <c r="A32" s="266"/>
      <c r="B32" s="475" t="s">
        <v>270</v>
      </c>
      <c r="C32" s="476"/>
      <c r="D32" s="477"/>
      <c r="E32" s="263" t="s">
        <v>184</v>
      </c>
      <c r="F32" s="509" t="s">
        <v>357</v>
      </c>
      <c r="G32" s="510"/>
      <c r="H32" s="512" t="s">
        <v>358</v>
      </c>
      <c r="I32" s="513"/>
      <c r="J32" s="513"/>
      <c r="K32" s="513"/>
      <c r="L32" s="513"/>
      <c r="M32" s="513"/>
      <c r="N32" s="513"/>
      <c r="O32" s="513"/>
      <c r="P32" s="513"/>
      <c r="Q32" s="514"/>
      <c r="R32" s="273"/>
      <c r="S32" s="173"/>
      <c r="T32" s="1"/>
      <c r="U32" s="1"/>
      <c r="V32" s="1"/>
      <c r="Y32" s="1"/>
      <c r="Z32" s="1"/>
    </row>
    <row r="33" spans="1:26" ht="15" customHeight="1">
      <c r="A33" s="266"/>
      <c r="B33" s="478"/>
      <c r="C33" s="479"/>
      <c r="D33" s="480"/>
      <c r="E33" s="264" t="s">
        <v>185</v>
      </c>
      <c r="F33" s="473" t="s">
        <v>345</v>
      </c>
      <c r="G33" s="474"/>
      <c r="H33" s="515"/>
      <c r="I33" s="516"/>
      <c r="J33" s="516"/>
      <c r="K33" s="516"/>
      <c r="L33" s="516"/>
      <c r="M33" s="516"/>
      <c r="N33" s="516"/>
      <c r="O33" s="516"/>
      <c r="P33" s="516"/>
      <c r="Q33" s="517"/>
      <c r="R33" s="273"/>
      <c r="S33" s="173"/>
      <c r="T33" s="1"/>
      <c r="U33" s="1"/>
      <c r="V33" s="1"/>
      <c r="Y33" s="1"/>
      <c r="Z33" s="1"/>
    </row>
    <row r="34" spans="1:26" ht="23.25" customHeight="1">
      <c r="A34" s="266"/>
      <c r="B34" s="481"/>
      <c r="C34" s="482"/>
      <c r="D34" s="483"/>
      <c r="E34" s="264" t="s">
        <v>186</v>
      </c>
      <c r="F34" s="473" t="s">
        <v>346</v>
      </c>
      <c r="G34" s="474"/>
      <c r="H34" s="515"/>
      <c r="I34" s="516"/>
      <c r="J34" s="516"/>
      <c r="K34" s="516"/>
      <c r="L34" s="516"/>
      <c r="M34" s="516"/>
      <c r="N34" s="516"/>
      <c r="O34" s="516"/>
      <c r="P34" s="516"/>
      <c r="Q34" s="517"/>
      <c r="R34" s="273"/>
      <c r="S34" s="173"/>
      <c r="T34" s="1"/>
      <c r="U34" s="1"/>
      <c r="V34" s="1"/>
      <c r="Y34" s="1"/>
      <c r="Z34" s="1"/>
    </row>
    <row r="35" spans="1:26" ht="22.5" customHeight="1">
      <c r="A35" s="266"/>
      <c r="B35" s="484" t="s">
        <v>271</v>
      </c>
      <c r="C35" s="485"/>
      <c r="D35" s="486"/>
      <c r="E35" s="493" t="s">
        <v>188</v>
      </c>
      <c r="F35" s="473" t="str">
        <f>参照ﾃﾞｰﾀ!AL5</f>
        <v>テティス</v>
      </c>
      <c r="G35" s="474"/>
      <c r="H35" s="515"/>
      <c r="I35" s="516"/>
      <c r="J35" s="516"/>
      <c r="K35" s="516"/>
      <c r="L35" s="516"/>
      <c r="M35" s="516"/>
      <c r="N35" s="516"/>
      <c r="O35" s="516"/>
      <c r="P35" s="516"/>
      <c r="Q35" s="517"/>
      <c r="R35" s="273"/>
      <c r="S35" s="173"/>
      <c r="T35" s="1"/>
      <c r="U35" s="1"/>
      <c r="V35" s="1"/>
      <c r="Y35" s="1"/>
      <c r="Z35" s="1"/>
    </row>
    <row r="36" spans="1:26" ht="15" customHeight="1">
      <c r="A36" s="266"/>
      <c r="B36" s="487"/>
      <c r="C36" s="488"/>
      <c r="D36" s="489"/>
      <c r="E36" s="494"/>
      <c r="F36" s="473"/>
      <c r="G36" s="474"/>
      <c r="H36" s="515"/>
      <c r="I36" s="516"/>
      <c r="J36" s="516"/>
      <c r="K36" s="516"/>
      <c r="L36" s="516"/>
      <c r="M36" s="516"/>
      <c r="N36" s="516"/>
      <c r="O36" s="516"/>
      <c r="P36" s="516"/>
      <c r="Q36" s="517"/>
      <c r="R36" s="273"/>
      <c r="S36" s="173"/>
      <c r="T36" s="1"/>
      <c r="U36" s="1"/>
      <c r="V36" s="1"/>
      <c r="Y36" s="1"/>
      <c r="Z36" s="1"/>
    </row>
    <row r="37" spans="1:26" ht="15" customHeight="1">
      <c r="A37" s="266"/>
      <c r="B37" s="487"/>
      <c r="C37" s="488"/>
      <c r="D37" s="489"/>
      <c r="E37" s="263" t="s">
        <v>187</v>
      </c>
      <c r="F37" s="511">
        <v>43541</v>
      </c>
      <c r="G37" s="510"/>
      <c r="H37" s="515"/>
      <c r="I37" s="516"/>
      <c r="J37" s="516"/>
      <c r="K37" s="516"/>
      <c r="L37" s="516"/>
      <c r="M37" s="516"/>
      <c r="N37" s="516"/>
      <c r="O37" s="516"/>
      <c r="P37" s="516"/>
      <c r="Q37" s="517"/>
      <c r="R37" s="273"/>
      <c r="S37" s="173"/>
      <c r="T37" s="1"/>
      <c r="U37" s="1"/>
      <c r="V37" s="1"/>
      <c r="Y37" s="1"/>
      <c r="Z37" s="1"/>
    </row>
    <row r="38" spans="1:26" ht="15">
      <c r="A38" s="266"/>
      <c r="B38" s="487"/>
      <c r="C38" s="488"/>
      <c r="D38" s="489"/>
      <c r="E38" s="264" t="s">
        <v>201</v>
      </c>
      <c r="F38" s="473" t="s">
        <v>240</v>
      </c>
      <c r="G38" s="474"/>
      <c r="H38" s="515"/>
      <c r="I38" s="516"/>
      <c r="J38" s="516"/>
      <c r="K38" s="516"/>
      <c r="L38" s="516"/>
      <c r="M38" s="516"/>
      <c r="N38" s="516"/>
      <c r="O38" s="516"/>
      <c r="P38" s="516"/>
      <c r="Q38" s="517"/>
      <c r="R38" s="273"/>
      <c r="S38" s="173"/>
      <c r="T38" s="1"/>
      <c r="U38" s="1"/>
      <c r="V38" s="1"/>
      <c r="Y38" s="1"/>
      <c r="Z38" s="1"/>
    </row>
    <row r="39" spans="1:26" ht="30">
      <c r="A39" s="266"/>
      <c r="B39" s="487"/>
      <c r="C39" s="488"/>
      <c r="D39" s="489"/>
      <c r="E39" s="264" t="s">
        <v>188</v>
      </c>
      <c r="F39" s="473" t="str">
        <f>参照ﾃﾞｰﾀ!AL6</f>
        <v>フェニックス</v>
      </c>
      <c r="G39" s="474"/>
      <c r="H39" s="515"/>
      <c r="I39" s="516"/>
      <c r="J39" s="516"/>
      <c r="K39" s="516"/>
      <c r="L39" s="516"/>
      <c r="M39" s="516"/>
      <c r="N39" s="516"/>
      <c r="O39" s="516"/>
      <c r="P39" s="516"/>
      <c r="Q39" s="517"/>
      <c r="R39" s="273"/>
      <c r="S39" s="173"/>
      <c r="T39" s="1"/>
      <c r="U39" s="1"/>
      <c r="V39" s="1"/>
      <c r="Y39" s="1"/>
      <c r="Z39" s="1"/>
    </row>
    <row r="40" spans="1:26" ht="15">
      <c r="A40" s="266"/>
      <c r="B40" s="487"/>
      <c r="C40" s="488"/>
      <c r="D40" s="489"/>
      <c r="E40" s="264"/>
      <c r="F40" s="473"/>
      <c r="G40" s="474"/>
      <c r="H40" s="515"/>
      <c r="I40" s="516"/>
      <c r="J40" s="516"/>
      <c r="K40" s="516"/>
      <c r="L40" s="516"/>
      <c r="M40" s="516"/>
      <c r="N40" s="516"/>
      <c r="O40" s="516"/>
      <c r="P40" s="516"/>
      <c r="Q40" s="517"/>
      <c r="R40" s="273"/>
      <c r="S40" s="173"/>
      <c r="T40" s="1"/>
      <c r="U40" s="1"/>
      <c r="V40" s="1"/>
      <c r="Y40" s="1"/>
      <c r="Z40" s="1"/>
    </row>
    <row r="41" spans="1:26" ht="11.25" customHeight="1" thickBot="1">
      <c r="A41" s="266"/>
      <c r="B41" s="490"/>
      <c r="C41" s="491"/>
      <c r="D41" s="492"/>
      <c r="E41" s="265"/>
      <c r="F41" s="495"/>
      <c r="G41" s="496"/>
      <c r="H41" s="518"/>
      <c r="I41" s="519"/>
      <c r="J41" s="519"/>
      <c r="K41" s="519"/>
      <c r="L41" s="519"/>
      <c r="M41" s="519"/>
      <c r="N41" s="519"/>
      <c r="O41" s="519"/>
      <c r="P41" s="519"/>
      <c r="Q41" s="520"/>
      <c r="R41" s="273"/>
      <c r="S41" s="173"/>
      <c r="T41" s="1"/>
      <c r="U41" s="1"/>
      <c r="V41" s="1"/>
      <c r="W41" s="1"/>
      <c r="X41" s="1"/>
      <c r="Y41" s="1"/>
      <c r="Z41" s="1"/>
    </row>
    <row r="42" spans="1:26">
      <c r="A42" s="266"/>
      <c r="B42" s="184"/>
      <c r="C42" s="184"/>
      <c r="D42" s="184"/>
      <c r="E42" s="184"/>
      <c r="F42" s="184"/>
      <c r="G42" s="184"/>
      <c r="H42" s="184"/>
      <c r="I42" s="184"/>
      <c r="J42" s="184"/>
      <c r="K42" s="184"/>
      <c r="L42" s="184"/>
      <c r="M42" s="184"/>
      <c r="N42" s="184"/>
      <c r="O42" s="184"/>
      <c r="P42" s="184"/>
      <c r="Q42" s="184"/>
      <c r="R42" s="184"/>
      <c r="S42" s="184"/>
    </row>
    <row r="43" spans="1:26">
      <c r="A43" s="267"/>
      <c r="B43" s="267"/>
      <c r="C43" s="267"/>
      <c r="D43" s="267"/>
      <c r="E43" s="267"/>
      <c r="F43" s="267"/>
      <c r="G43" s="267"/>
      <c r="H43" s="267"/>
      <c r="I43" s="267"/>
      <c r="J43" s="267"/>
      <c r="K43" s="267"/>
      <c r="L43" s="267"/>
      <c r="M43" s="267"/>
      <c r="N43" s="267"/>
      <c r="O43" s="267"/>
      <c r="P43" s="267"/>
      <c r="Q43" s="267"/>
      <c r="R43" s="267"/>
      <c r="S43" s="267"/>
    </row>
  </sheetData>
  <sheetProtection algorithmName="SHA-512" hashValue="kBnrHNpLbnB8TieVFZqSR5Uheb/sJhgKXlapr2aHWHLGtXwo2UgwuLnH3juFTF+U+eDLd9d7xsUfmFjS1IlAOA==" saltValue="QolTHKSrWBtLGsBnmixKCw==" spinCount="100000" sheet="1" objects="1" scenarios="1"/>
  <sortState ref="C7:L22">
    <sortCondition ref="K7:K22"/>
  </sortState>
  <mergeCells count="18">
    <mergeCell ref="F38:G38"/>
    <mergeCell ref="F39:G39"/>
    <mergeCell ref="D2:F2"/>
    <mergeCell ref="E3:I3"/>
    <mergeCell ref="J3:K3"/>
    <mergeCell ref="P5:Q5"/>
    <mergeCell ref="B32:D34"/>
    <mergeCell ref="F32:G32"/>
    <mergeCell ref="H32:Q41"/>
    <mergeCell ref="F33:G33"/>
    <mergeCell ref="F34:G34"/>
    <mergeCell ref="B35:D41"/>
    <mergeCell ref="F40:G40"/>
    <mergeCell ref="F41:G41"/>
    <mergeCell ref="E35:E36"/>
    <mergeCell ref="F35:G35"/>
    <mergeCell ref="F36:G36"/>
    <mergeCell ref="F37:G37"/>
  </mergeCells>
  <phoneticPr fontId="42"/>
  <dataValidations count="9">
    <dataValidation type="list" allowBlank="1" showInputMessage="1" showErrorMessage="1" sqref="D3">
      <formula1>レース番号</formula1>
    </dataValidation>
    <dataValidation type="list" allowBlank="1" showInputMessage="1" showErrorMessage="1" sqref="I6">
      <formula1>ＴＡ</formula1>
    </dataValidation>
    <dataValidation type="list" showInputMessage="1" showErrorMessage="1" sqref="E3">
      <formula1>レース名</formula1>
    </dataValidation>
    <dataValidation type="list" allowBlank="1" showInputMessage="1" showErrorMessage="1" sqref="N2">
      <formula1>コース</formula1>
    </dataValidation>
    <dataValidation type="list" allowBlank="1" showInputMessage="1" showErrorMessage="1" sqref="G2">
      <formula1>月</formula1>
    </dataValidation>
    <dataValidation type="list" allowBlank="1" showInputMessage="1" showErrorMessage="1" sqref="J3:K3">
      <formula1>暫定</formula1>
    </dataValidation>
    <dataValidation type="list" allowBlank="1" showInputMessage="1" showErrorMessage="1" sqref="Q2:R2">
      <formula1>時刻</formula1>
    </dataValidation>
    <dataValidation type="list" allowBlank="1" showInputMessage="1" showErrorMessage="1" sqref="P2 F37:G37">
      <formula1>開催日</formula1>
    </dataValidation>
    <dataValidation type="list" errorStyle="information" allowBlank="1" showInputMessage="1" showErrorMessage="1" sqref="F38:G38">
      <formula1>コース</formula1>
    </dataValidation>
  </dataValidations>
  <pageMargins left="0.31496062992125984" right="0" top="0.35433070866141736" bottom="0.19685039370078741" header="0" footer="0"/>
  <pageSetup paperSize="9" orientation="landscape" horizontalDpi="4294967293"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3"/>
  <sheetViews>
    <sheetView zoomScale="85" zoomScaleNormal="85" zoomScaleSheetLayoutView="85" workbookViewId="0">
      <selection activeCell="E9" sqref="E9"/>
    </sheetView>
  </sheetViews>
  <sheetFormatPr defaultRowHeight="13.5"/>
  <cols>
    <col min="1" max="1" width="1.75" style="274" customWidth="1"/>
    <col min="2" max="2" width="5" style="274" customWidth="1"/>
    <col min="3" max="3" width="7" style="274" customWidth="1"/>
    <col min="4" max="4" width="18" style="274" customWidth="1"/>
    <col min="5" max="5" width="8" style="274" customWidth="1"/>
    <col min="6" max="6" width="5" style="274" customWidth="1"/>
    <col min="7" max="7" width="10.875" style="274" customWidth="1"/>
    <col min="8" max="8" width="8.375" style="274" customWidth="1"/>
    <col min="9" max="9" width="8.625" style="274" customWidth="1"/>
    <col min="10" max="10" width="5" style="274" customWidth="1"/>
    <col min="11" max="11" width="8.5" style="274" customWidth="1"/>
    <col min="12" max="12" width="10.5" style="274" customWidth="1"/>
    <col min="13" max="13" width="9.5" style="274" customWidth="1"/>
    <col min="14" max="14" width="7.875" style="274" customWidth="1"/>
    <col min="15" max="15" width="8" style="274" customWidth="1"/>
    <col min="16" max="16" width="12" style="274" customWidth="1"/>
    <col min="17" max="17" width="11.625" style="274" customWidth="1"/>
    <col min="18" max="18" width="1.5" style="274" customWidth="1"/>
    <col min="19" max="19" width="4.875" style="274" customWidth="1"/>
    <col min="20" max="22" width="7.625" style="274" customWidth="1"/>
    <col min="23" max="23" width="7.75" style="274" customWidth="1"/>
    <col min="24" max="25" width="7.625" style="274" customWidth="1"/>
    <col min="26" max="26" width="4.5" style="274" customWidth="1"/>
    <col min="27" max="29" width="8" style="274" customWidth="1"/>
    <col min="30" max="16384" width="9" style="274"/>
  </cols>
  <sheetData>
    <row r="1" spans="1:29" ht="9.75" customHeight="1" thickBot="1">
      <c r="A1" s="184"/>
      <c r="B1" s="184"/>
      <c r="C1" s="184"/>
      <c r="D1" s="184"/>
      <c r="E1" s="184"/>
      <c r="F1" s="184"/>
      <c r="G1" s="184"/>
      <c r="H1" s="184"/>
      <c r="I1" s="184"/>
      <c r="J1" s="184"/>
      <c r="K1" s="184"/>
      <c r="L1" s="184"/>
      <c r="M1" s="184"/>
      <c r="N1" s="184"/>
      <c r="O1" s="184"/>
      <c r="P1" s="184"/>
      <c r="Q1" s="184"/>
      <c r="R1" s="184"/>
      <c r="S1" s="184"/>
    </row>
    <row r="2" spans="1:29" ht="21">
      <c r="A2" s="184"/>
      <c r="B2" s="302"/>
      <c r="C2" s="184"/>
      <c r="D2" s="471" t="str">
        <f>参照ﾃﾞｰﾀ!P4</f>
        <v>2019年</v>
      </c>
      <c r="E2" s="471"/>
      <c r="F2" s="471"/>
      <c r="G2" s="175" t="s">
        <v>191</v>
      </c>
      <c r="H2" s="176"/>
      <c r="I2" s="177"/>
      <c r="J2" s="173"/>
      <c r="K2" s="178"/>
      <c r="L2" s="173"/>
      <c r="M2" s="179" t="s">
        <v>52</v>
      </c>
      <c r="N2" s="180" t="s">
        <v>240</v>
      </c>
      <c r="O2" s="181" t="s">
        <v>54</v>
      </c>
      <c r="P2" s="182">
        <v>43541</v>
      </c>
      <c r="Q2" s="183">
        <v>0.41666666666666669</v>
      </c>
      <c r="R2" s="270"/>
      <c r="S2" s="173"/>
      <c r="T2" s="276" t="s">
        <v>2</v>
      </c>
      <c r="U2" s="275"/>
      <c r="V2" s="275"/>
      <c r="W2" s="275"/>
      <c r="X2" s="275"/>
      <c r="Y2" s="275"/>
      <c r="Z2" s="275"/>
    </row>
    <row r="3" spans="1:29" ht="21.75" customHeight="1" thickBot="1">
      <c r="A3" s="184"/>
      <c r="B3" s="173"/>
      <c r="C3" s="184"/>
      <c r="D3" s="185" t="s">
        <v>247</v>
      </c>
      <c r="E3" s="472" t="s">
        <v>64</v>
      </c>
      <c r="F3" s="472"/>
      <c r="G3" s="472"/>
      <c r="H3" s="472"/>
      <c r="I3" s="472"/>
      <c r="J3" s="497" t="s">
        <v>86</v>
      </c>
      <c r="K3" s="497"/>
      <c r="L3" s="173"/>
      <c r="M3" s="186" t="s">
        <v>75</v>
      </c>
      <c r="N3" s="187">
        <f>IF(ISBLANK(N2),"",VLOOKUP(N2,コース・距離,2,FALSE))</f>
        <v>16.7</v>
      </c>
      <c r="O3" s="188" t="s">
        <v>0</v>
      </c>
      <c r="P3" s="189">
        <v>14</v>
      </c>
      <c r="Q3" s="190" t="s">
        <v>1</v>
      </c>
      <c r="R3" s="271"/>
      <c r="S3" s="173"/>
      <c r="T3" s="275" t="s">
        <v>239</v>
      </c>
      <c r="U3" s="275"/>
      <c r="V3" s="275"/>
      <c r="W3" s="276" t="s">
        <v>2</v>
      </c>
      <c r="X3" s="275"/>
      <c r="Y3" s="275"/>
      <c r="Z3" s="275"/>
      <c r="AA3" s="277" t="s">
        <v>76</v>
      </c>
    </row>
    <row r="4" spans="1:29" ht="7.5" customHeight="1" thickBot="1">
      <c r="A4" s="184"/>
      <c r="B4" s="173"/>
      <c r="C4" s="173"/>
      <c r="D4" s="173"/>
      <c r="E4" s="173"/>
      <c r="F4" s="173"/>
      <c r="G4" s="173"/>
      <c r="H4" s="173"/>
      <c r="I4" s="173"/>
      <c r="J4" s="173"/>
      <c r="K4" s="173"/>
      <c r="L4" s="173"/>
      <c r="M4" s="173"/>
      <c r="N4" s="173"/>
      <c r="O4" s="173"/>
      <c r="P4" s="173"/>
      <c r="Q4" s="173"/>
      <c r="R4" s="173"/>
      <c r="S4" s="173"/>
      <c r="T4" s="275"/>
      <c r="U4" s="275"/>
      <c r="V4" s="275"/>
      <c r="W4" s="278"/>
      <c r="X4" s="275"/>
      <c r="Y4" s="275"/>
      <c r="Z4" s="275"/>
    </row>
    <row r="5" spans="1:29" ht="14.25">
      <c r="A5" s="184"/>
      <c r="B5" s="191" t="s">
        <v>3</v>
      </c>
      <c r="C5" s="192" t="s">
        <v>4</v>
      </c>
      <c r="D5" s="192" t="s">
        <v>5</v>
      </c>
      <c r="E5" s="192" t="s">
        <v>6</v>
      </c>
      <c r="F5" s="192" t="s">
        <v>7</v>
      </c>
      <c r="G5" s="192" t="s">
        <v>8</v>
      </c>
      <c r="H5" s="192" t="s">
        <v>9</v>
      </c>
      <c r="I5" s="192" t="s">
        <v>10</v>
      </c>
      <c r="J5" s="192" t="s">
        <v>11</v>
      </c>
      <c r="K5" s="192" t="s">
        <v>12</v>
      </c>
      <c r="L5" s="193" t="s">
        <v>272</v>
      </c>
      <c r="M5" s="193" t="s">
        <v>269</v>
      </c>
      <c r="N5" s="192" t="s">
        <v>71</v>
      </c>
      <c r="O5" s="192" t="s">
        <v>13</v>
      </c>
      <c r="P5" s="498" t="s">
        <v>70</v>
      </c>
      <c r="Q5" s="499"/>
      <c r="R5" s="272"/>
      <c r="S5" s="268"/>
      <c r="T5" s="281" t="s">
        <v>10</v>
      </c>
      <c r="U5" s="279" t="s">
        <v>10</v>
      </c>
      <c r="V5" s="282" t="s">
        <v>10</v>
      </c>
      <c r="W5" s="281" t="s">
        <v>10</v>
      </c>
      <c r="X5" s="279" t="s">
        <v>10</v>
      </c>
      <c r="Y5" s="282" t="s">
        <v>10</v>
      </c>
      <c r="Z5" s="280"/>
      <c r="AA5" s="281" t="s">
        <v>13</v>
      </c>
      <c r="AB5" s="279" t="s">
        <v>13</v>
      </c>
      <c r="AC5" s="282" t="s">
        <v>13</v>
      </c>
    </row>
    <row r="6" spans="1:29" ht="14.25">
      <c r="A6" s="184"/>
      <c r="B6" s="194"/>
      <c r="C6" s="195" t="s">
        <v>14</v>
      </c>
      <c r="D6" s="196"/>
      <c r="E6" s="197" t="s">
        <v>15</v>
      </c>
      <c r="F6" s="197"/>
      <c r="G6" s="195" t="s">
        <v>16</v>
      </c>
      <c r="H6" s="197" t="s">
        <v>17</v>
      </c>
      <c r="I6" s="195" t="s">
        <v>236</v>
      </c>
      <c r="J6" s="197" t="s">
        <v>18</v>
      </c>
      <c r="K6" s="197" t="s">
        <v>17</v>
      </c>
      <c r="L6" s="195" t="s">
        <v>16</v>
      </c>
      <c r="M6" s="197" t="s">
        <v>46</v>
      </c>
      <c r="N6" s="197" t="s">
        <v>19</v>
      </c>
      <c r="O6" s="198" t="s">
        <v>235</v>
      </c>
      <c r="P6" s="199"/>
      <c r="Q6" s="200"/>
      <c r="R6" s="268"/>
      <c r="S6" s="269"/>
      <c r="T6" s="285" t="s">
        <v>20</v>
      </c>
      <c r="U6" s="283" t="s">
        <v>22</v>
      </c>
      <c r="V6" s="286" t="s">
        <v>21</v>
      </c>
      <c r="W6" s="285" t="s">
        <v>20</v>
      </c>
      <c r="X6" s="283" t="s">
        <v>22</v>
      </c>
      <c r="Y6" s="286" t="s">
        <v>21</v>
      </c>
      <c r="Z6" s="284"/>
      <c r="AA6" s="285" t="s">
        <v>78</v>
      </c>
      <c r="AB6" s="283" t="s">
        <v>234</v>
      </c>
      <c r="AC6" s="286" t="s">
        <v>80</v>
      </c>
    </row>
    <row r="7" spans="1:29" ht="14.25">
      <c r="A7" s="184"/>
      <c r="B7" s="201">
        <v>1</v>
      </c>
      <c r="C7" s="202">
        <v>6735</v>
      </c>
      <c r="D7" s="203" t="str">
        <f t="shared" ref="D7:D19" si="0">IF(ISBLANK(C7),"",VLOOKUP(C7,各艇データ,2,FALSE))</f>
        <v>VEGA</v>
      </c>
      <c r="E7" s="204">
        <f t="shared" ref="E7:E19" si="1">IF($I$6="Ⅰ",T7,IF($I$6="Ⅱ",U7,IF($I$6="Ⅲ",V7,"")))</f>
        <v>8.77</v>
      </c>
      <c r="F7" s="204">
        <v>4</v>
      </c>
      <c r="G7" s="205">
        <v>0.54833333333333334</v>
      </c>
      <c r="H7" s="202">
        <f t="shared" ref="H7:H19" si="2">IFERROR(IF(G7-$Q$2&lt;=0,"",(G7-$Q$2)*86400),"")</f>
        <v>11375.999999999998</v>
      </c>
      <c r="I7" s="206">
        <f t="shared" ref="I7:I19" si="3">IF($I$6="Ⅰ",W7,IF($I$6="Ⅱ",X7,IF($I$6="Ⅲ",Y7,"")))</f>
        <v>587</v>
      </c>
      <c r="J7" s="204"/>
      <c r="K7" s="207">
        <f t="shared" ref="K7:K19" si="4">IFERROR(H7*(1+0.01*J7)-I7*$N$3,"")</f>
        <v>1573.0999999999985</v>
      </c>
      <c r="L7" s="205">
        <f t="shared" ref="L7:L19" si="5">IFERROR((K7-$K$7)/86400,"")</f>
        <v>0</v>
      </c>
      <c r="M7" s="208">
        <f t="shared" ref="M7:M19" si="6">IFERROR((K7-$K$7)/$N$3,"")</f>
        <v>0</v>
      </c>
      <c r="N7" s="209">
        <f t="shared" ref="N7:N19" si="7">IFERROR($N$3/(H7/3600),"")</f>
        <v>5.2848101265822791</v>
      </c>
      <c r="O7" s="210">
        <f>ROUND(IF($O$6="MAX=20",AA7,IF($O$6="MAX=30",AB7,IF($O$6="MAX=40",AC7,""))),1)</f>
        <v>30</v>
      </c>
      <c r="P7" s="211"/>
      <c r="Q7" s="212"/>
      <c r="R7" s="268"/>
      <c r="S7" s="268"/>
      <c r="T7" s="288">
        <f t="shared" ref="T7:T31" si="8">IF(ISBLANK(C7),"",VLOOKUP(C7,各艇データ,3,FALSE))</f>
        <v>9.77</v>
      </c>
      <c r="U7" s="289">
        <f t="shared" ref="U7:U31" si="9">IF(ISBLANK(C7),"",VLOOKUP(C7,各艇データ,4,FALSE))</f>
        <v>8.77</v>
      </c>
      <c r="V7" s="290">
        <f t="shared" ref="V7:V31" si="10">IF(ISBLANK(C7),"",VLOOKUP(C7,各艇データ,5,FALSE))</f>
        <v>8.43</v>
      </c>
      <c r="W7" s="291">
        <f t="shared" ref="W7:W31" si="11">IF(ISBLANK(C7),"",VLOOKUP(C7,各艇データ,6,FALSE))</f>
        <v>912.7</v>
      </c>
      <c r="X7" s="292">
        <f t="shared" ref="X7:X31" si="12">IF(ISBLANK(C7),"",VLOOKUP(C7,各艇データ,7,FALSE))</f>
        <v>587</v>
      </c>
      <c r="Y7" s="293">
        <f t="shared" ref="Y7:Y31" si="13">IF(ISBLANK(C7),"",VLOOKUP(C7,各艇データ,8,FALSE))</f>
        <v>526.1</v>
      </c>
      <c r="Z7" s="280"/>
      <c r="AA7" s="294">
        <f>IF(ISBLANK(B7),"",IFERROR(20*($P$3+1-$B7)/$P$3,"20.0"))</f>
        <v>20</v>
      </c>
      <c r="AB7" s="287">
        <f>IF(ISBLANK(B7),"",IFERROR(30*($P$3+1-$B7)/$P$3,"30.0"))</f>
        <v>30</v>
      </c>
      <c r="AC7" s="295">
        <f>IF(ISBLANK(B7),"",IFERROR(30*($P$3-$B7)/($P$3-1)+10,"20.0"))</f>
        <v>40</v>
      </c>
    </row>
    <row r="8" spans="1:29" ht="14.25">
      <c r="A8" s="184"/>
      <c r="B8" s="213">
        <v>2</v>
      </c>
      <c r="C8" s="214">
        <v>150</v>
      </c>
      <c r="D8" s="215" t="str">
        <f t="shared" si="0"/>
        <v>SHARK X</v>
      </c>
      <c r="E8" s="216">
        <f t="shared" si="1"/>
        <v>8.68</v>
      </c>
      <c r="F8" s="216">
        <v>6</v>
      </c>
      <c r="G8" s="217">
        <v>0.55092592592592593</v>
      </c>
      <c r="H8" s="202">
        <f t="shared" si="2"/>
        <v>11599.999999999998</v>
      </c>
      <c r="I8" s="218">
        <f t="shared" si="3"/>
        <v>588.9</v>
      </c>
      <c r="J8" s="216"/>
      <c r="K8" s="219">
        <f t="shared" si="4"/>
        <v>1765.369999999999</v>
      </c>
      <c r="L8" s="217">
        <f t="shared" si="5"/>
        <v>2.2253472222222271E-3</v>
      </c>
      <c r="M8" s="220">
        <f t="shared" si="6"/>
        <v>11.513173652694638</v>
      </c>
      <c r="N8" s="221">
        <f t="shared" si="7"/>
        <v>5.1827586206896559</v>
      </c>
      <c r="O8" s="222">
        <f t="shared" ref="O8:O16" si="14">ROUND(IF($O$6="MAX=20",AA8,IF($O$6="MAX=30",AB8,IF($O$6="MAX=40",AC8,""))),1)</f>
        <v>27.9</v>
      </c>
      <c r="P8" s="223"/>
      <c r="Q8" s="224"/>
      <c r="R8" s="268"/>
      <c r="S8" s="268"/>
      <c r="T8" s="288">
        <f t="shared" si="8"/>
        <v>9.06</v>
      </c>
      <c r="U8" s="289">
        <f t="shared" si="9"/>
        <v>8.68</v>
      </c>
      <c r="V8" s="290">
        <f t="shared" si="10"/>
        <v>8.5</v>
      </c>
      <c r="W8" s="291">
        <f t="shared" si="11"/>
        <v>936.4</v>
      </c>
      <c r="X8" s="292">
        <f t="shared" si="12"/>
        <v>588.9</v>
      </c>
      <c r="Y8" s="293">
        <f t="shared" si="13"/>
        <v>524.4</v>
      </c>
      <c r="Z8" s="280"/>
      <c r="AA8" s="294">
        <f t="shared" ref="AA8:AA26" si="15">IF(ISBLANK(B8),"",IFERROR(20*($P$3+1-$B8)/$P$3,"20.0"))</f>
        <v>18.571428571428573</v>
      </c>
      <c r="AB8" s="287">
        <f t="shared" ref="AB8:AB26" si="16">IF(ISBLANK(B8),"",IFERROR(30*($P$3+1-$B8)/$P$3,"30.0"))</f>
        <v>27.857142857142858</v>
      </c>
      <c r="AC8" s="295">
        <f t="shared" ref="AC8:AC26" si="17">IF(ISBLANK(B8),"",IFERROR(30*($P$3-$B8)/($P$3-1)+10,"20.0"))</f>
        <v>37.692307692307693</v>
      </c>
    </row>
    <row r="9" spans="1:29" ht="14.25">
      <c r="A9" s="184"/>
      <c r="B9" s="213">
        <v>3</v>
      </c>
      <c r="C9" s="214">
        <v>380</v>
      </c>
      <c r="D9" s="215" t="str">
        <f t="shared" si="0"/>
        <v>テティス</v>
      </c>
      <c r="E9" s="216">
        <v>10.15</v>
      </c>
      <c r="F9" s="216">
        <v>1</v>
      </c>
      <c r="G9" s="217">
        <v>0.5464930555555555</v>
      </c>
      <c r="H9" s="214">
        <f t="shared" si="2"/>
        <v>11216.999999999993</v>
      </c>
      <c r="I9" s="218">
        <f t="shared" si="3"/>
        <v>563.29999999999995</v>
      </c>
      <c r="J9" s="216"/>
      <c r="K9" s="219">
        <f t="shared" si="4"/>
        <v>1809.889999999994</v>
      </c>
      <c r="L9" s="217">
        <f t="shared" si="5"/>
        <v>2.7406249999999471E-3</v>
      </c>
      <c r="M9" s="220">
        <f t="shared" si="6"/>
        <v>14.179041916167391</v>
      </c>
      <c r="N9" s="221">
        <f t="shared" si="7"/>
        <v>5.3597218507622388</v>
      </c>
      <c r="O9" s="222">
        <f t="shared" si="14"/>
        <v>25.7</v>
      </c>
      <c r="P9" s="223"/>
      <c r="Q9" s="224"/>
      <c r="R9" s="268"/>
      <c r="S9" s="268"/>
      <c r="T9" s="288">
        <f t="shared" si="8"/>
        <v>10.32</v>
      </c>
      <c r="U9" s="289">
        <f t="shared" si="9"/>
        <v>9.86</v>
      </c>
      <c r="V9" s="290">
        <f t="shared" si="10"/>
        <v>9.51</v>
      </c>
      <c r="W9" s="291">
        <f t="shared" si="11"/>
        <v>896</v>
      </c>
      <c r="X9" s="292">
        <f t="shared" si="12"/>
        <v>563.29999999999995</v>
      </c>
      <c r="Y9" s="293">
        <f t="shared" si="13"/>
        <v>500.8</v>
      </c>
      <c r="Z9" s="280"/>
      <c r="AA9" s="294">
        <f t="shared" si="15"/>
        <v>17.142857142857142</v>
      </c>
      <c r="AB9" s="287">
        <f t="shared" si="16"/>
        <v>25.714285714285715</v>
      </c>
      <c r="AC9" s="295">
        <f t="shared" si="17"/>
        <v>35.384615384615387</v>
      </c>
    </row>
    <row r="10" spans="1:29" ht="14.25">
      <c r="A10" s="184"/>
      <c r="B10" s="213">
        <v>4</v>
      </c>
      <c r="C10" s="214">
        <v>5752</v>
      </c>
      <c r="D10" s="215" t="str">
        <f t="shared" si="0"/>
        <v>アルファ</v>
      </c>
      <c r="E10" s="216">
        <f t="shared" si="1"/>
        <v>10.18</v>
      </c>
      <c r="F10" s="216">
        <v>2</v>
      </c>
      <c r="G10" s="217">
        <v>0.5479398148148148</v>
      </c>
      <c r="H10" s="214">
        <f t="shared" si="2"/>
        <v>11341.999999999996</v>
      </c>
      <c r="I10" s="218">
        <f t="shared" si="3"/>
        <v>557</v>
      </c>
      <c r="J10" s="216"/>
      <c r="K10" s="219">
        <f t="shared" si="4"/>
        <v>2040.0999999999967</v>
      </c>
      <c r="L10" s="217">
        <f t="shared" si="5"/>
        <v>5.4050925925925716E-3</v>
      </c>
      <c r="M10" s="220">
        <f t="shared" si="6"/>
        <v>27.964071856287319</v>
      </c>
      <c r="N10" s="221">
        <f t="shared" si="7"/>
        <v>5.3006524422500449</v>
      </c>
      <c r="O10" s="222">
        <f t="shared" si="14"/>
        <v>23.6</v>
      </c>
      <c r="P10" s="303"/>
      <c r="Q10" s="224"/>
      <c r="R10" s="268"/>
      <c r="S10" s="268"/>
      <c r="T10" s="288">
        <f t="shared" si="8"/>
        <v>10.43</v>
      </c>
      <c r="U10" s="289">
        <f t="shared" si="9"/>
        <v>10.18</v>
      </c>
      <c r="V10" s="290">
        <f t="shared" si="10"/>
        <v>9.92</v>
      </c>
      <c r="W10" s="291">
        <f t="shared" si="11"/>
        <v>892.7</v>
      </c>
      <c r="X10" s="292">
        <f t="shared" si="12"/>
        <v>557</v>
      </c>
      <c r="Y10" s="293">
        <f t="shared" si="13"/>
        <v>492.1</v>
      </c>
      <c r="Z10" s="280"/>
      <c r="AA10" s="294">
        <f t="shared" si="15"/>
        <v>15.714285714285714</v>
      </c>
      <c r="AB10" s="287">
        <f t="shared" si="16"/>
        <v>23.571428571428573</v>
      </c>
      <c r="AC10" s="295">
        <f t="shared" si="17"/>
        <v>33.07692307692308</v>
      </c>
    </row>
    <row r="11" spans="1:29" ht="14.25">
      <c r="A11" s="184"/>
      <c r="B11" s="225">
        <v>5</v>
      </c>
      <c r="C11" s="226">
        <v>6732</v>
      </c>
      <c r="D11" s="227" t="str">
        <f t="shared" si="0"/>
        <v>アイデアル</v>
      </c>
      <c r="E11" s="228">
        <f t="shared" si="1"/>
        <v>9.1300000000000008</v>
      </c>
      <c r="F11" s="228">
        <v>7</v>
      </c>
      <c r="G11" s="229">
        <v>0.55224537037037036</v>
      </c>
      <c r="H11" s="230">
        <f t="shared" si="2"/>
        <v>11713.999999999998</v>
      </c>
      <c r="I11" s="231">
        <f t="shared" si="3"/>
        <v>578.79999999999995</v>
      </c>
      <c r="J11" s="232"/>
      <c r="K11" s="233">
        <f t="shared" si="4"/>
        <v>2048.0399999999991</v>
      </c>
      <c r="L11" s="234">
        <f t="shared" si="5"/>
        <v>5.4969907407407467E-3</v>
      </c>
      <c r="M11" s="235">
        <f t="shared" si="6"/>
        <v>28.439520958083865</v>
      </c>
      <c r="N11" s="236">
        <f t="shared" si="7"/>
        <v>5.1323203004951345</v>
      </c>
      <c r="O11" s="237">
        <f t="shared" si="14"/>
        <v>21.4</v>
      </c>
      <c r="P11" s="238"/>
      <c r="Q11" s="239"/>
      <c r="R11" s="268"/>
      <c r="S11" s="268"/>
      <c r="T11" s="288">
        <f t="shared" si="8"/>
        <v>9.59</v>
      </c>
      <c r="U11" s="289">
        <f t="shared" si="9"/>
        <v>9.1300000000000008</v>
      </c>
      <c r="V11" s="290">
        <f t="shared" si="10"/>
        <v>8.76</v>
      </c>
      <c r="W11" s="291">
        <f t="shared" si="11"/>
        <v>918.4</v>
      </c>
      <c r="X11" s="292">
        <f t="shared" si="12"/>
        <v>578.79999999999995</v>
      </c>
      <c r="Y11" s="293">
        <f t="shared" si="13"/>
        <v>518</v>
      </c>
      <c r="Z11" s="280"/>
      <c r="AA11" s="294">
        <f t="shared" si="15"/>
        <v>14.285714285714286</v>
      </c>
      <c r="AB11" s="287">
        <f t="shared" si="16"/>
        <v>21.428571428571427</v>
      </c>
      <c r="AC11" s="295">
        <f t="shared" si="17"/>
        <v>30.76923076923077</v>
      </c>
    </row>
    <row r="12" spans="1:29" ht="14.25">
      <c r="A12" s="184"/>
      <c r="B12" s="201">
        <v>6</v>
      </c>
      <c r="C12" s="202">
        <v>321</v>
      </c>
      <c r="D12" s="203" t="str">
        <f t="shared" si="0"/>
        <v>かまくら</v>
      </c>
      <c r="E12" s="204">
        <f t="shared" si="1"/>
        <v>9.51</v>
      </c>
      <c r="F12" s="204">
        <v>5</v>
      </c>
      <c r="G12" s="205">
        <v>0.55075231481481479</v>
      </c>
      <c r="H12" s="202">
        <f t="shared" si="2"/>
        <v>11584.999999999996</v>
      </c>
      <c r="I12" s="206">
        <f t="shared" si="3"/>
        <v>570.5</v>
      </c>
      <c r="J12" s="204"/>
      <c r="K12" s="207">
        <f t="shared" si="4"/>
        <v>2057.649999999996</v>
      </c>
      <c r="L12" s="205">
        <f t="shared" si="5"/>
        <v>5.6082175925925631E-3</v>
      </c>
      <c r="M12" s="208">
        <f t="shared" si="6"/>
        <v>29.014970059880088</v>
      </c>
      <c r="N12" s="209">
        <f t="shared" si="7"/>
        <v>5.1894691411307736</v>
      </c>
      <c r="O12" s="210">
        <f t="shared" si="14"/>
        <v>19.3</v>
      </c>
      <c r="P12" s="184"/>
      <c r="Q12" s="212"/>
      <c r="R12" s="268"/>
      <c r="S12" s="268"/>
      <c r="T12" s="288">
        <f t="shared" si="8"/>
        <v>10.15</v>
      </c>
      <c r="U12" s="289">
        <f t="shared" si="9"/>
        <v>9.51</v>
      </c>
      <c r="V12" s="290">
        <f t="shared" si="10"/>
        <v>9.44</v>
      </c>
      <c r="W12" s="291">
        <f t="shared" si="11"/>
        <v>900.8</v>
      </c>
      <c r="X12" s="292">
        <f t="shared" si="12"/>
        <v>570.5</v>
      </c>
      <c r="Y12" s="293">
        <f t="shared" si="13"/>
        <v>502.2</v>
      </c>
      <c r="Z12" s="280"/>
      <c r="AA12" s="294">
        <f t="shared" si="15"/>
        <v>12.857142857142858</v>
      </c>
      <c r="AB12" s="287">
        <f t="shared" si="16"/>
        <v>19.285714285714285</v>
      </c>
      <c r="AC12" s="295">
        <f t="shared" si="17"/>
        <v>28.46153846153846</v>
      </c>
    </row>
    <row r="13" spans="1:29" ht="14.25">
      <c r="A13" s="184"/>
      <c r="B13" s="213">
        <v>7</v>
      </c>
      <c r="C13" s="214">
        <v>6793</v>
      </c>
      <c r="D13" s="215" t="str">
        <f t="shared" si="0"/>
        <v>Miss Nippon Ⅷ</v>
      </c>
      <c r="E13" s="216">
        <f t="shared" si="1"/>
        <v>10.61</v>
      </c>
      <c r="F13" s="216">
        <v>3</v>
      </c>
      <c r="G13" s="217">
        <v>0.54832175925925919</v>
      </c>
      <c r="H13" s="214">
        <f t="shared" si="2"/>
        <v>11374.999999999993</v>
      </c>
      <c r="I13" s="218">
        <f t="shared" si="3"/>
        <v>549.1</v>
      </c>
      <c r="J13" s="216"/>
      <c r="K13" s="219">
        <f t="shared" si="4"/>
        <v>2205.0299999999934</v>
      </c>
      <c r="L13" s="217">
        <f t="shared" ref="L13" si="18">IFERROR((K13-$K$7)/86400,"")</f>
        <v>7.3140046296295697E-3</v>
      </c>
      <c r="M13" s="220">
        <f t="shared" ref="M13" si="19">IFERROR((K13-$K$7)/$N$3,"")</f>
        <v>37.840119760478736</v>
      </c>
      <c r="N13" s="221">
        <f t="shared" si="7"/>
        <v>5.2852747252747285</v>
      </c>
      <c r="O13" s="222">
        <f t="shared" si="14"/>
        <v>17.100000000000001</v>
      </c>
      <c r="P13" s="223"/>
      <c r="Q13" s="224"/>
      <c r="R13" s="268"/>
      <c r="S13" s="268"/>
      <c r="T13" s="288">
        <f t="shared" si="8"/>
        <v>10.61</v>
      </c>
      <c r="U13" s="289">
        <f t="shared" si="9"/>
        <v>10.61</v>
      </c>
      <c r="V13" s="290">
        <f t="shared" si="10"/>
        <v>10.26</v>
      </c>
      <c r="W13" s="291">
        <f t="shared" si="11"/>
        <v>887.5</v>
      </c>
      <c r="X13" s="292">
        <f t="shared" si="12"/>
        <v>549.1</v>
      </c>
      <c r="Y13" s="293">
        <f t="shared" si="13"/>
        <v>485.5</v>
      </c>
      <c r="Z13" s="280"/>
      <c r="AA13" s="294">
        <f t="shared" si="15"/>
        <v>11.428571428571429</v>
      </c>
      <c r="AB13" s="287">
        <f t="shared" si="16"/>
        <v>17.142857142857142</v>
      </c>
      <c r="AC13" s="295">
        <f t="shared" si="17"/>
        <v>26.153846153846153</v>
      </c>
    </row>
    <row r="14" spans="1:29" ht="14.25">
      <c r="A14" s="184"/>
      <c r="B14" s="213">
        <v>8</v>
      </c>
      <c r="C14" s="214">
        <v>1611</v>
      </c>
      <c r="D14" s="215" t="str">
        <f t="shared" si="0"/>
        <v>ﾈﾌﾟﾁｭｰﾝXⅡ</v>
      </c>
      <c r="E14" s="216">
        <f t="shared" si="1"/>
        <v>8.15</v>
      </c>
      <c r="F14" s="216">
        <v>10</v>
      </c>
      <c r="G14" s="217">
        <v>0.55891203703703707</v>
      </c>
      <c r="H14" s="214">
        <f t="shared" si="2"/>
        <v>12290.000000000002</v>
      </c>
      <c r="I14" s="218">
        <f t="shared" si="3"/>
        <v>602.20000000000005</v>
      </c>
      <c r="J14" s="216"/>
      <c r="K14" s="219">
        <f t="shared" si="4"/>
        <v>2233.260000000002</v>
      </c>
      <c r="L14" s="217">
        <f t="shared" si="5"/>
        <v>7.6407407407407812E-3</v>
      </c>
      <c r="M14" s="220">
        <f t="shared" si="6"/>
        <v>39.530538922155898</v>
      </c>
      <c r="N14" s="221">
        <f t="shared" si="7"/>
        <v>4.8917819365337669</v>
      </c>
      <c r="O14" s="222">
        <f t="shared" si="14"/>
        <v>15</v>
      </c>
      <c r="P14" s="223"/>
      <c r="Q14" s="224"/>
      <c r="R14" s="268"/>
      <c r="S14" s="268"/>
      <c r="T14" s="288">
        <f t="shared" si="8"/>
        <v>8.0299999999999994</v>
      </c>
      <c r="U14" s="289">
        <f t="shared" si="9"/>
        <v>8.15</v>
      </c>
      <c r="V14" s="290">
        <f t="shared" si="10"/>
        <v>7.98</v>
      </c>
      <c r="W14" s="291">
        <f t="shared" si="11"/>
        <v>975.7</v>
      </c>
      <c r="X14" s="292">
        <f t="shared" si="12"/>
        <v>602.20000000000005</v>
      </c>
      <c r="Y14" s="293">
        <f t="shared" si="13"/>
        <v>538.1</v>
      </c>
      <c r="Z14" s="280"/>
      <c r="AA14" s="294">
        <f t="shared" si="15"/>
        <v>10</v>
      </c>
      <c r="AB14" s="287">
        <f t="shared" si="16"/>
        <v>15</v>
      </c>
      <c r="AC14" s="295">
        <f t="shared" si="17"/>
        <v>23.846153846153847</v>
      </c>
    </row>
    <row r="15" spans="1:29" ht="14.25">
      <c r="A15" s="184"/>
      <c r="B15" s="213">
        <v>9</v>
      </c>
      <c r="C15" s="214">
        <v>5755</v>
      </c>
      <c r="D15" s="215" t="str">
        <f t="shared" si="0"/>
        <v>ランカ</v>
      </c>
      <c r="E15" s="216">
        <f t="shared" si="1"/>
        <v>8.2100000000000009</v>
      </c>
      <c r="F15" s="216">
        <v>9</v>
      </c>
      <c r="G15" s="217">
        <v>0.55890046296296292</v>
      </c>
      <c r="H15" s="214">
        <f t="shared" si="2"/>
        <v>12288.999999999995</v>
      </c>
      <c r="I15" s="218">
        <f t="shared" si="3"/>
        <v>600.5</v>
      </c>
      <c r="J15" s="216"/>
      <c r="K15" s="219">
        <f t="shared" si="4"/>
        <v>2260.6499999999942</v>
      </c>
      <c r="L15" s="217">
        <f t="shared" si="5"/>
        <v>7.9577546296295786E-3</v>
      </c>
      <c r="M15" s="220">
        <f t="shared" si="6"/>
        <v>41.170658682634468</v>
      </c>
      <c r="N15" s="221">
        <f t="shared" si="7"/>
        <v>4.89217999837253</v>
      </c>
      <c r="O15" s="222">
        <f t="shared" si="14"/>
        <v>12.9</v>
      </c>
      <c r="P15" s="223"/>
      <c r="Q15" s="224"/>
      <c r="R15" s="268"/>
      <c r="S15" s="268"/>
      <c r="T15" s="288">
        <f t="shared" si="8"/>
        <v>8.25</v>
      </c>
      <c r="U15" s="289">
        <f t="shared" si="9"/>
        <v>8.2100000000000009</v>
      </c>
      <c r="V15" s="290">
        <f t="shared" si="10"/>
        <v>8.1300000000000008</v>
      </c>
      <c r="W15" s="291">
        <f t="shared" si="11"/>
        <v>966.8</v>
      </c>
      <c r="X15" s="292">
        <f t="shared" si="12"/>
        <v>600.5</v>
      </c>
      <c r="Y15" s="293">
        <f t="shared" si="13"/>
        <v>534.1</v>
      </c>
      <c r="Z15" s="280"/>
      <c r="AA15" s="294">
        <f t="shared" si="15"/>
        <v>8.5714285714285712</v>
      </c>
      <c r="AB15" s="287">
        <f t="shared" si="16"/>
        <v>12.857142857142858</v>
      </c>
      <c r="AC15" s="295">
        <f t="shared" si="17"/>
        <v>21.53846153846154</v>
      </c>
    </row>
    <row r="16" spans="1:29" ht="14.25">
      <c r="A16" s="184"/>
      <c r="B16" s="225">
        <v>10</v>
      </c>
      <c r="C16" s="226">
        <v>1733</v>
      </c>
      <c r="D16" s="227" t="str">
        <f t="shared" si="0"/>
        <v>ケロニア</v>
      </c>
      <c r="E16" s="228">
        <f t="shared" si="1"/>
        <v>9.57</v>
      </c>
      <c r="F16" s="228">
        <v>8</v>
      </c>
      <c r="G16" s="229">
        <v>0.55429398148148146</v>
      </c>
      <c r="H16" s="226">
        <f t="shared" si="2"/>
        <v>11890.999999999996</v>
      </c>
      <c r="I16" s="241">
        <f t="shared" si="3"/>
        <v>569.29999999999995</v>
      </c>
      <c r="J16" s="228"/>
      <c r="K16" s="243">
        <f t="shared" si="4"/>
        <v>2383.6899999999969</v>
      </c>
      <c r="L16" s="229">
        <f t="shared" si="5"/>
        <v>9.3818287037036839E-3</v>
      </c>
      <c r="M16" s="244">
        <f t="shared" si="6"/>
        <v>48.538323353293315</v>
      </c>
      <c r="N16" s="245">
        <f t="shared" si="7"/>
        <v>5.0559246488941234</v>
      </c>
      <c r="O16" s="246">
        <f t="shared" si="14"/>
        <v>10.7</v>
      </c>
      <c r="P16" s="238"/>
      <c r="Q16" s="239"/>
      <c r="R16" s="268"/>
      <c r="S16" s="268"/>
      <c r="T16" s="288">
        <f t="shared" si="8"/>
        <v>9.67</v>
      </c>
      <c r="U16" s="289">
        <f t="shared" si="9"/>
        <v>9.57</v>
      </c>
      <c r="V16" s="290">
        <f t="shared" si="10"/>
        <v>9.4</v>
      </c>
      <c r="W16" s="291">
        <f t="shared" si="11"/>
        <v>915.7</v>
      </c>
      <c r="X16" s="292">
        <f t="shared" si="12"/>
        <v>569.29999999999995</v>
      </c>
      <c r="Y16" s="293">
        <f t="shared" si="13"/>
        <v>503.2</v>
      </c>
      <c r="Z16" s="280"/>
      <c r="AA16" s="294">
        <f t="shared" si="15"/>
        <v>7.1428571428571432</v>
      </c>
      <c r="AB16" s="287">
        <f t="shared" si="16"/>
        <v>10.714285714285714</v>
      </c>
      <c r="AC16" s="295">
        <f t="shared" si="17"/>
        <v>19.23076923076923</v>
      </c>
    </row>
    <row r="17" spans="1:29" ht="14.25">
      <c r="A17" s="184"/>
      <c r="B17" s="201">
        <v>11</v>
      </c>
      <c r="C17" s="202">
        <v>346</v>
      </c>
      <c r="D17" s="203" t="str">
        <f t="shared" si="0"/>
        <v>飛車角</v>
      </c>
      <c r="E17" s="204">
        <f t="shared" si="1"/>
        <v>8.58</v>
      </c>
      <c r="F17" s="204">
        <v>11</v>
      </c>
      <c r="G17" s="205">
        <v>0.5599884259259259</v>
      </c>
      <c r="H17" s="247">
        <f t="shared" si="2"/>
        <v>12382.999999999996</v>
      </c>
      <c r="I17" s="248">
        <f t="shared" si="3"/>
        <v>591.5</v>
      </c>
      <c r="J17" s="249"/>
      <c r="K17" s="250">
        <f t="shared" si="4"/>
        <v>2504.9499999999971</v>
      </c>
      <c r="L17" s="251">
        <f t="shared" si="5"/>
        <v>1.0785300925925908E-2</v>
      </c>
      <c r="M17" s="252">
        <f t="shared" si="6"/>
        <v>55.799401197604709</v>
      </c>
      <c r="N17" s="253">
        <f t="shared" si="7"/>
        <v>4.8550432043931204</v>
      </c>
      <c r="O17" s="254">
        <f>ROUND(IF($O$6="MAX=20",AA17,IF($O$6="MAX=30",AB17,IF($O$6="MAX=40",AC17,""))),1)</f>
        <v>8.6</v>
      </c>
      <c r="P17" s="211"/>
      <c r="Q17" s="212"/>
      <c r="R17" s="268"/>
      <c r="S17" s="268"/>
      <c r="T17" s="288">
        <f t="shared" si="8"/>
        <v>8.4</v>
      </c>
      <c r="U17" s="289">
        <f t="shared" si="9"/>
        <v>8.58</v>
      </c>
      <c r="V17" s="290">
        <f t="shared" si="10"/>
        <v>8.68</v>
      </c>
      <c r="W17" s="291">
        <f t="shared" si="11"/>
        <v>960.8</v>
      </c>
      <c r="X17" s="292">
        <f t="shared" si="12"/>
        <v>591.5</v>
      </c>
      <c r="Y17" s="293">
        <f t="shared" si="13"/>
        <v>519.79999999999995</v>
      </c>
      <c r="Z17" s="280"/>
      <c r="AA17" s="294">
        <f t="shared" si="15"/>
        <v>5.7142857142857144</v>
      </c>
      <c r="AB17" s="287">
        <f t="shared" si="16"/>
        <v>8.5714285714285712</v>
      </c>
      <c r="AC17" s="295">
        <f t="shared" si="17"/>
        <v>16.923076923076923</v>
      </c>
    </row>
    <row r="18" spans="1:29" ht="14.25">
      <c r="A18" s="184"/>
      <c r="B18" s="213">
        <v>12</v>
      </c>
      <c r="C18" s="214">
        <v>131</v>
      </c>
      <c r="D18" s="215" t="str">
        <f t="shared" si="0"/>
        <v>ふるたか</v>
      </c>
      <c r="E18" s="216">
        <f t="shared" si="1"/>
        <v>8.31</v>
      </c>
      <c r="F18" s="216">
        <v>13</v>
      </c>
      <c r="G18" s="217">
        <v>0.5652314814814815</v>
      </c>
      <c r="H18" s="214">
        <f t="shared" si="2"/>
        <v>12836</v>
      </c>
      <c r="I18" s="218">
        <f t="shared" si="3"/>
        <v>598.20000000000005</v>
      </c>
      <c r="J18" s="216"/>
      <c r="K18" s="219">
        <f t="shared" si="4"/>
        <v>2846.0599999999995</v>
      </c>
      <c r="L18" s="217">
        <f t="shared" si="5"/>
        <v>1.4733333333333345E-2</v>
      </c>
      <c r="M18" s="220">
        <f t="shared" si="6"/>
        <v>76.225149700598863</v>
      </c>
      <c r="N18" s="221">
        <f t="shared" si="7"/>
        <v>4.683702087877843</v>
      </c>
      <c r="O18" s="222">
        <f>ROUND(IF($O$6="MAX=20",AA18,IF($O$6="MAX=30",AB18,IF($O$6="MAX=40",AC18,""))),1)</f>
        <v>6.4</v>
      </c>
      <c r="P18" s="223"/>
      <c r="Q18" s="224"/>
      <c r="R18" s="268"/>
      <c r="S18" s="268"/>
      <c r="T18" s="288">
        <f t="shared" si="8"/>
        <v>8.2899999999999991</v>
      </c>
      <c r="U18" s="289">
        <f t="shared" si="9"/>
        <v>8.31</v>
      </c>
      <c r="V18" s="290">
        <f t="shared" si="10"/>
        <v>8.0500000000000007</v>
      </c>
      <c r="W18" s="291">
        <f t="shared" si="11"/>
        <v>965.1</v>
      </c>
      <c r="X18" s="292">
        <f t="shared" si="12"/>
        <v>598.20000000000005</v>
      </c>
      <c r="Y18" s="293">
        <f t="shared" si="13"/>
        <v>536.29999999999995</v>
      </c>
      <c r="Z18" s="280"/>
      <c r="AA18" s="294">
        <f t="shared" si="15"/>
        <v>4.2857142857142856</v>
      </c>
      <c r="AB18" s="287">
        <f t="shared" si="16"/>
        <v>6.4285714285714288</v>
      </c>
      <c r="AC18" s="295">
        <f t="shared" si="17"/>
        <v>14.615384615384615</v>
      </c>
    </row>
    <row r="19" spans="1:29" ht="14.25">
      <c r="A19" s="184"/>
      <c r="B19" s="213">
        <v>13</v>
      </c>
      <c r="C19" s="240">
        <v>4010</v>
      </c>
      <c r="D19" s="215" t="str">
        <f t="shared" si="0"/>
        <v>ナジャ</v>
      </c>
      <c r="E19" s="216">
        <f t="shared" si="1"/>
        <v>10.24</v>
      </c>
      <c r="F19" s="216">
        <v>12</v>
      </c>
      <c r="G19" s="217">
        <v>0.56232638888888886</v>
      </c>
      <c r="H19" s="214">
        <f t="shared" si="2"/>
        <v>12584.999999999996</v>
      </c>
      <c r="I19" s="218">
        <f t="shared" si="3"/>
        <v>555.9</v>
      </c>
      <c r="J19" s="216"/>
      <c r="K19" s="219">
        <f t="shared" si="4"/>
        <v>3301.4699999999975</v>
      </c>
      <c r="L19" s="217">
        <f t="shared" si="5"/>
        <v>2.0004282407407394E-2</v>
      </c>
      <c r="M19" s="220">
        <f t="shared" si="6"/>
        <v>103.49520958083826</v>
      </c>
      <c r="N19" s="221">
        <f t="shared" si="7"/>
        <v>4.7771156138259849</v>
      </c>
      <c r="O19" s="222">
        <f>ROUND(IF($O$6="MAX=20",AA19,IF($O$6="MAX=30",AB19,IF($O$6="MAX=40",AC19,""))),1)</f>
        <v>4.3</v>
      </c>
      <c r="P19" s="223"/>
      <c r="Q19" s="224"/>
      <c r="R19" s="268"/>
      <c r="S19" s="268"/>
      <c r="T19" s="288">
        <f t="shared" si="8"/>
        <v>10.47</v>
      </c>
      <c r="U19" s="289">
        <f t="shared" si="9"/>
        <v>10.24</v>
      </c>
      <c r="V19" s="290">
        <f t="shared" si="10"/>
        <v>10.039999999999999</v>
      </c>
      <c r="W19" s="291">
        <f t="shared" si="11"/>
        <v>891.5</v>
      </c>
      <c r="X19" s="292">
        <f t="shared" si="12"/>
        <v>555.9</v>
      </c>
      <c r="Y19" s="293">
        <f t="shared" si="13"/>
        <v>489.8</v>
      </c>
      <c r="Z19" s="280"/>
      <c r="AA19" s="294">
        <f t="shared" si="15"/>
        <v>2.8571428571428572</v>
      </c>
      <c r="AB19" s="287">
        <f t="shared" si="16"/>
        <v>4.2857142857142856</v>
      </c>
      <c r="AC19" s="295">
        <f t="shared" si="17"/>
        <v>12.307692307692307</v>
      </c>
    </row>
    <row r="20" spans="1:29" ht="14.25">
      <c r="A20" s="184"/>
      <c r="B20" s="213">
        <v>14</v>
      </c>
      <c r="C20" s="214">
        <v>199</v>
      </c>
      <c r="D20" s="215" t="str">
        <f t="shared" ref="D20" si="20">IF(ISBLANK(C20),"",VLOOKUP(C20,各艇データ,2,FALSE))</f>
        <v>サ－モン4</v>
      </c>
      <c r="E20" s="216"/>
      <c r="F20" s="216"/>
      <c r="G20" s="217"/>
      <c r="H20" s="214"/>
      <c r="I20" s="218"/>
      <c r="J20" s="304"/>
      <c r="K20" s="219"/>
      <c r="L20" s="217"/>
      <c r="M20" s="220"/>
      <c r="N20" s="221"/>
      <c r="O20" s="222">
        <v>1</v>
      </c>
      <c r="P20" s="257" t="s">
        <v>359</v>
      </c>
      <c r="Q20" s="224"/>
      <c r="R20" s="268"/>
      <c r="S20" s="268"/>
      <c r="T20" s="288">
        <f t="shared" si="8"/>
        <v>8.99</v>
      </c>
      <c r="U20" s="289">
        <f t="shared" si="9"/>
        <v>9.15</v>
      </c>
      <c r="V20" s="290">
        <f t="shared" si="10"/>
        <v>9.1</v>
      </c>
      <c r="W20" s="291">
        <f t="shared" si="11"/>
        <v>939</v>
      </c>
      <c r="X20" s="292">
        <f t="shared" si="12"/>
        <v>578.20000000000005</v>
      </c>
      <c r="Y20" s="293">
        <f t="shared" si="13"/>
        <v>509.9</v>
      </c>
      <c r="Z20" s="280"/>
      <c r="AA20" s="294">
        <f t="shared" si="15"/>
        <v>1.4285714285714286</v>
      </c>
      <c r="AB20" s="287">
        <f t="shared" si="16"/>
        <v>2.1428571428571428</v>
      </c>
      <c r="AC20" s="295">
        <f t="shared" si="17"/>
        <v>10</v>
      </c>
    </row>
    <row r="21" spans="1:29" ht="14.25">
      <c r="A21" s="184"/>
      <c r="B21" s="225"/>
      <c r="C21" s="226"/>
      <c r="D21" s="227"/>
      <c r="E21" s="228"/>
      <c r="F21" s="228"/>
      <c r="G21" s="229"/>
      <c r="H21" s="226"/>
      <c r="I21" s="241"/>
      <c r="J21" s="228"/>
      <c r="K21" s="243"/>
      <c r="L21" s="229"/>
      <c r="M21" s="244"/>
      <c r="N21" s="245"/>
      <c r="O21" s="246"/>
      <c r="P21" s="305"/>
      <c r="Q21" s="239"/>
      <c r="R21" s="268"/>
      <c r="S21" s="268"/>
      <c r="T21" s="288" t="str">
        <f t="shared" si="8"/>
        <v/>
      </c>
      <c r="U21" s="289" t="str">
        <f t="shared" si="9"/>
        <v/>
      </c>
      <c r="V21" s="290" t="str">
        <f t="shared" si="10"/>
        <v/>
      </c>
      <c r="W21" s="291" t="str">
        <f t="shared" si="11"/>
        <v/>
      </c>
      <c r="X21" s="292" t="str">
        <f t="shared" si="12"/>
        <v/>
      </c>
      <c r="Y21" s="293" t="str">
        <f t="shared" si="13"/>
        <v/>
      </c>
      <c r="Z21" s="280"/>
      <c r="AA21" s="294" t="str">
        <f t="shared" si="15"/>
        <v/>
      </c>
      <c r="AB21" s="287" t="str">
        <f t="shared" si="16"/>
        <v/>
      </c>
      <c r="AC21" s="295" t="str">
        <f t="shared" si="17"/>
        <v/>
      </c>
    </row>
    <row r="22" spans="1:29" ht="14.25">
      <c r="A22" s="184"/>
      <c r="B22" s="255"/>
      <c r="C22" s="247">
        <v>162</v>
      </c>
      <c r="D22" s="260" t="str">
        <f t="shared" ref="D22:D26" si="21">IF(ISBLANK(C22),"",VLOOKUP(C22,各艇データ,2,FALSE))</f>
        <v>ﾌｪﾆｯｸｽ</v>
      </c>
      <c r="E22" s="204"/>
      <c r="F22" s="204"/>
      <c r="G22" s="251"/>
      <c r="H22" s="247" t="str">
        <f t="shared" ref="H22:H31" si="22">IFERROR(IF(G22-$Q$2&lt;=0,"",(G22-$Q$2)*86400),"")</f>
        <v/>
      </c>
      <c r="I22" s="248"/>
      <c r="J22" s="249"/>
      <c r="K22" s="250" t="str">
        <f t="shared" ref="K22:K31" si="23">IFERROR(H22*(1+0.01*J22)-I22*$N$3,"")</f>
        <v/>
      </c>
      <c r="L22" s="205" t="str">
        <f t="shared" ref="L22:L31" si="24">IFERROR((K22-$K$7)/86400,"")</f>
        <v/>
      </c>
      <c r="M22" s="208" t="str">
        <f t="shared" ref="M22:M31" si="25">IFERROR((K22-$K$7)/$N$3,"")</f>
        <v/>
      </c>
      <c r="N22" s="209" t="str">
        <f t="shared" ref="N22:N31" si="26">IFERROR($N$3/(H22/3600),"")</f>
        <v/>
      </c>
      <c r="O22" s="254">
        <v>1</v>
      </c>
      <c r="P22" s="261" t="s">
        <v>360</v>
      </c>
      <c r="Q22" s="256"/>
      <c r="R22" s="268"/>
      <c r="S22" s="268"/>
      <c r="T22" s="288">
        <f t="shared" si="8"/>
        <v>6.96</v>
      </c>
      <c r="U22" s="289">
        <f t="shared" si="9"/>
        <v>6.84</v>
      </c>
      <c r="V22" s="290">
        <f t="shared" si="10"/>
        <v>6.95</v>
      </c>
      <c r="W22" s="291">
        <f t="shared" si="11"/>
        <v>1024.3</v>
      </c>
      <c r="X22" s="292">
        <f t="shared" si="12"/>
        <v>640.4</v>
      </c>
      <c r="Y22" s="293">
        <f t="shared" si="13"/>
        <v>569.4</v>
      </c>
      <c r="Z22" s="280"/>
      <c r="AA22" s="294" t="str">
        <f t="shared" si="15"/>
        <v/>
      </c>
      <c r="AB22" s="287" t="str">
        <f t="shared" si="16"/>
        <v/>
      </c>
      <c r="AC22" s="295" t="str">
        <f t="shared" si="17"/>
        <v/>
      </c>
    </row>
    <row r="23" spans="1:29" ht="14.25">
      <c r="A23" s="184"/>
      <c r="B23" s="213"/>
      <c r="C23" s="214"/>
      <c r="D23" s="215" t="str">
        <f t="shared" si="21"/>
        <v/>
      </c>
      <c r="E23" s="216" t="str">
        <f t="shared" ref="E23" si="27">IF($I$6="Ⅰ",T23,IF($I$6="Ⅱ",U23,IF($I$6="Ⅲ",V23,"")))</f>
        <v/>
      </c>
      <c r="F23" s="216"/>
      <c r="G23" s="217"/>
      <c r="H23" s="214" t="str">
        <f t="shared" si="22"/>
        <v/>
      </c>
      <c r="I23" s="218"/>
      <c r="J23" s="216"/>
      <c r="K23" s="219" t="str">
        <f t="shared" si="23"/>
        <v/>
      </c>
      <c r="L23" s="217" t="str">
        <f t="shared" si="24"/>
        <v/>
      </c>
      <c r="M23" s="220" t="str">
        <f t="shared" si="25"/>
        <v/>
      </c>
      <c r="N23" s="221" t="str">
        <f t="shared" si="26"/>
        <v/>
      </c>
      <c r="O23" s="222"/>
      <c r="P23" s="257"/>
      <c r="Q23" s="224"/>
      <c r="R23" s="268"/>
      <c r="S23" s="268"/>
      <c r="T23" s="288" t="str">
        <f t="shared" si="8"/>
        <v/>
      </c>
      <c r="U23" s="289" t="str">
        <f t="shared" si="9"/>
        <v/>
      </c>
      <c r="V23" s="290" t="str">
        <f t="shared" si="10"/>
        <v/>
      </c>
      <c r="W23" s="291" t="str">
        <f t="shared" si="11"/>
        <v/>
      </c>
      <c r="X23" s="292" t="str">
        <f t="shared" si="12"/>
        <v/>
      </c>
      <c r="Y23" s="293" t="str">
        <f t="shared" si="13"/>
        <v/>
      </c>
      <c r="Z23" s="280"/>
      <c r="AA23" s="294" t="str">
        <f t="shared" si="15"/>
        <v/>
      </c>
      <c r="AB23" s="287" t="str">
        <f t="shared" si="16"/>
        <v/>
      </c>
      <c r="AC23" s="295" t="str">
        <f t="shared" si="17"/>
        <v/>
      </c>
    </row>
    <row r="24" spans="1:29" ht="14.25">
      <c r="A24" s="184"/>
      <c r="B24" s="213"/>
      <c r="C24" s="214"/>
      <c r="D24" s="215" t="str">
        <f t="shared" si="21"/>
        <v/>
      </c>
      <c r="E24" s="216"/>
      <c r="F24" s="216"/>
      <c r="G24" s="217"/>
      <c r="H24" s="214" t="str">
        <f t="shared" si="22"/>
        <v/>
      </c>
      <c r="I24" s="218" t="str">
        <f t="shared" ref="I24:I31" si="28">IF($I$6="Ⅰ",W24,IF($I$6="Ⅱ",X24,IF($I$6="Ⅲ",Y24,"")))</f>
        <v/>
      </c>
      <c r="J24" s="216"/>
      <c r="K24" s="219" t="str">
        <f t="shared" si="23"/>
        <v/>
      </c>
      <c r="L24" s="217" t="str">
        <f t="shared" si="24"/>
        <v/>
      </c>
      <c r="M24" s="220" t="str">
        <f t="shared" si="25"/>
        <v/>
      </c>
      <c r="N24" s="221" t="str">
        <f t="shared" si="26"/>
        <v/>
      </c>
      <c r="O24" s="222"/>
      <c r="P24" s="258"/>
      <c r="Q24" s="224"/>
      <c r="R24" s="268"/>
      <c r="S24" s="268"/>
      <c r="T24" s="288" t="str">
        <f t="shared" si="8"/>
        <v/>
      </c>
      <c r="U24" s="289" t="str">
        <f t="shared" si="9"/>
        <v/>
      </c>
      <c r="V24" s="290" t="str">
        <f t="shared" si="10"/>
        <v/>
      </c>
      <c r="W24" s="291" t="str">
        <f t="shared" si="11"/>
        <v/>
      </c>
      <c r="X24" s="292" t="str">
        <f t="shared" si="12"/>
        <v/>
      </c>
      <c r="Y24" s="293" t="str">
        <f t="shared" si="13"/>
        <v/>
      </c>
      <c r="Z24" s="280"/>
      <c r="AA24" s="294" t="str">
        <f t="shared" si="15"/>
        <v/>
      </c>
      <c r="AB24" s="287" t="str">
        <f t="shared" si="16"/>
        <v/>
      </c>
      <c r="AC24" s="295" t="str">
        <f t="shared" si="17"/>
        <v/>
      </c>
    </row>
    <row r="25" spans="1:29" ht="14.25">
      <c r="A25" s="184"/>
      <c r="B25" s="213"/>
      <c r="C25" s="214"/>
      <c r="D25" s="215" t="str">
        <f t="shared" si="21"/>
        <v/>
      </c>
      <c r="E25" s="216"/>
      <c r="F25" s="216"/>
      <c r="G25" s="217"/>
      <c r="H25" s="214" t="str">
        <f t="shared" si="22"/>
        <v/>
      </c>
      <c r="I25" s="218" t="str">
        <f t="shared" si="28"/>
        <v/>
      </c>
      <c r="J25" s="216"/>
      <c r="K25" s="219" t="str">
        <f t="shared" si="23"/>
        <v/>
      </c>
      <c r="L25" s="217" t="str">
        <f t="shared" si="24"/>
        <v/>
      </c>
      <c r="M25" s="220" t="str">
        <f t="shared" si="25"/>
        <v/>
      </c>
      <c r="N25" s="221" t="str">
        <f t="shared" si="26"/>
        <v/>
      </c>
      <c r="O25" s="222"/>
      <c r="P25" s="258"/>
      <c r="Q25" s="224"/>
      <c r="R25" s="268"/>
      <c r="S25" s="268"/>
      <c r="T25" s="288" t="str">
        <f t="shared" si="8"/>
        <v/>
      </c>
      <c r="U25" s="289" t="str">
        <f t="shared" si="9"/>
        <v/>
      </c>
      <c r="V25" s="290" t="str">
        <f t="shared" si="10"/>
        <v/>
      </c>
      <c r="W25" s="291" t="str">
        <f t="shared" si="11"/>
        <v/>
      </c>
      <c r="X25" s="292" t="str">
        <f t="shared" si="12"/>
        <v/>
      </c>
      <c r="Y25" s="293" t="str">
        <f t="shared" si="13"/>
        <v/>
      </c>
      <c r="Z25" s="280"/>
      <c r="AA25" s="294" t="str">
        <f t="shared" si="15"/>
        <v/>
      </c>
      <c r="AB25" s="287" t="str">
        <f t="shared" si="16"/>
        <v/>
      </c>
      <c r="AC25" s="295" t="str">
        <f t="shared" si="17"/>
        <v/>
      </c>
    </row>
    <row r="26" spans="1:29" ht="14.25">
      <c r="A26" s="184"/>
      <c r="B26" s="225"/>
      <c r="C26" s="226"/>
      <c r="D26" s="227" t="str">
        <f t="shared" si="21"/>
        <v/>
      </c>
      <c r="E26" s="228"/>
      <c r="F26" s="228"/>
      <c r="G26" s="229"/>
      <c r="H26" s="226" t="str">
        <f t="shared" si="22"/>
        <v/>
      </c>
      <c r="I26" s="241" t="str">
        <f t="shared" si="28"/>
        <v/>
      </c>
      <c r="J26" s="228"/>
      <c r="K26" s="243" t="str">
        <f t="shared" si="23"/>
        <v/>
      </c>
      <c r="L26" s="229" t="str">
        <f t="shared" si="24"/>
        <v/>
      </c>
      <c r="M26" s="244" t="str">
        <f t="shared" si="25"/>
        <v/>
      </c>
      <c r="N26" s="245" t="str">
        <f t="shared" si="26"/>
        <v/>
      </c>
      <c r="O26" s="246"/>
      <c r="P26" s="259"/>
      <c r="Q26" s="239"/>
      <c r="R26" s="268"/>
      <c r="S26" s="268"/>
      <c r="T26" s="288" t="str">
        <f t="shared" si="8"/>
        <v/>
      </c>
      <c r="U26" s="289" t="str">
        <f t="shared" si="9"/>
        <v/>
      </c>
      <c r="V26" s="290" t="str">
        <f t="shared" si="10"/>
        <v/>
      </c>
      <c r="W26" s="291" t="str">
        <f t="shared" si="11"/>
        <v/>
      </c>
      <c r="X26" s="292" t="str">
        <f t="shared" si="12"/>
        <v/>
      </c>
      <c r="Y26" s="293" t="str">
        <f t="shared" si="13"/>
        <v/>
      </c>
      <c r="Z26" s="280"/>
      <c r="AA26" s="294" t="str">
        <f t="shared" si="15"/>
        <v/>
      </c>
      <c r="AB26" s="287" t="str">
        <f t="shared" si="16"/>
        <v/>
      </c>
      <c r="AC26" s="295" t="str">
        <f t="shared" si="17"/>
        <v/>
      </c>
    </row>
    <row r="27" spans="1:29" ht="14.25">
      <c r="A27" s="184"/>
      <c r="B27" s="255"/>
      <c r="C27" s="247"/>
      <c r="D27" s="260"/>
      <c r="E27" s="249"/>
      <c r="F27" s="249"/>
      <c r="G27" s="251"/>
      <c r="H27" s="247" t="str">
        <f t="shared" si="22"/>
        <v/>
      </c>
      <c r="I27" s="248" t="str">
        <f t="shared" si="28"/>
        <v/>
      </c>
      <c r="J27" s="249"/>
      <c r="K27" s="250" t="str">
        <f t="shared" si="23"/>
        <v/>
      </c>
      <c r="L27" s="205" t="str">
        <f t="shared" si="24"/>
        <v/>
      </c>
      <c r="M27" s="208" t="str">
        <f t="shared" si="25"/>
        <v/>
      </c>
      <c r="N27" s="209" t="str">
        <f t="shared" si="26"/>
        <v/>
      </c>
      <c r="O27" s="254"/>
      <c r="P27" s="306"/>
      <c r="Q27" s="256"/>
      <c r="R27" s="268"/>
      <c r="S27" s="268"/>
      <c r="T27" s="288" t="str">
        <f t="shared" si="8"/>
        <v/>
      </c>
      <c r="U27" s="289" t="str">
        <f t="shared" si="9"/>
        <v/>
      </c>
      <c r="V27" s="290" t="str">
        <f t="shared" si="10"/>
        <v/>
      </c>
      <c r="W27" s="291" t="str">
        <f t="shared" si="11"/>
        <v/>
      </c>
      <c r="X27" s="292" t="str">
        <f t="shared" si="12"/>
        <v/>
      </c>
      <c r="Y27" s="293" t="str">
        <f t="shared" si="13"/>
        <v/>
      </c>
      <c r="Z27" s="280"/>
      <c r="AA27" s="294" t="str">
        <f>IF(ISBLANK(B27),"",IFERROR(20*($P$3+1-$B27)/$P$3,"20.0"))</f>
        <v/>
      </c>
      <c r="AB27" s="287" t="str">
        <f>IF(ISBLANK(B27),"",IFERROR(30*($P$3+1-$B27)/$P$3,"30.0"))</f>
        <v/>
      </c>
      <c r="AC27" s="295" t="str">
        <f>IF(ISBLANK(B27),"",IFERROR(30*($P$3-$B27)/($P$3-1)+10,"20.0"))</f>
        <v/>
      </c>
    </row>
    <row r="28" spans="1:29" ht="14.25">
      <c r="A28" s="184"/>
      <c r="B28" s="213"/>
      <c r="C28" s="214"/>
      <c r="D28" s="215"/>
      <c r="E28" s="216"/>
      <c r="F28" s="216"/>
      <c r="G28" s="217"/>
      <c r="H28" s="214" t="str">
        <f t="shared" si="22"/>
        <v/>
      </c>
      <c r="I28" s="218" t="str">
        <f t="shared" si="28"/>
        <v/>
      </c>
      <c r="J28" s="216"/>
      <c r="K28" s="219" t="str">
        <f t="shared" si="23"/>
        <v/>
      </c>
      <c r="L28" s="217" t="str">
        <f t="shared" si="24"/>
        <v/>
      </c>
      <c r="M28" s="220" t="str">
        <f t="shared" si="25"/>
        <v/>
      </c>
      <c r="N28" s="221" t="str">
        <f t="shared" si="26"/>
        <v/>
      </c>
      <c r="O28" s="222"/>
      <c r="P28" s="307"/>
      <c r="Q28" s="224"/>
      <c r="R28" s="268"/>
      <c r="S28" s="268"/>
      <c r="T28" s="288" t="str">
        <f t="shared" si="8"/>
        <v/>
      </c>
      <c r="U28" s="289" t="str">
        <f t="shared" si="9"/>
        <v/>
      </c>
      <c r="V28" s="290" t="str">
        <f t="shared" si="10"/>
        <v/>
      </c>
      <c r="W28" s="291" t="str">
        <f t="shared" si="11"/>
        <v/>
      </c>
      <c r="X28" s="292" t="str">
        <f t="shared" si="12"/>
        <v/>
      </c>
      <c r="Y28" s="293" t="str">
        <f t="shared" si="13"/>
        <v/>
      </c>
      <c r="Z28" s="280"/>
      <c r="AA28" s="294" t="str">
        <f>IF(ISBLANK(B28),"",IFERROR(20*($P$3+1-$B28)/$P$3,"20.0"))</f>
        <v/>
      </c>
      <c r="AB28" s="287" t="str">
        <f>IF(ISBLANK(B28),"",IFERROR(30*($P$3+1-$B28)/$P$3,"30.0"))</f>
        <v/>
      </c>
      <c r="AC28" s="295" t="str">
        <f>IF(ISBLANK(B28),"",IFERROR(30*($P$3-$B28)/($P$3-1)+10,"20.0"))</f>
        <v/>
      </c>
    </row>
    <row r="29" spans="1:29" ht="14.25">
      <c r="A29" s="184"/>
      <c r="B29" s="213"/>
      <c r="C29" s="214"/>
      <c r="D29" s="215"/>
      <c r="E29" s="216"/>
      <c r="F29" s="216"/>
      <c r="G29" s="217"/>
      <c r="H29" s="214" t="str">
        <f t="shared" si="22"/>
        <v/>
      </c>
      <c r="I29" s="218" t="str">
        <f t="shared" si="28"/>
        <v/>
      </c>
      <c r="J29" s="216"/>
      <c r="K29" s="219" t="str">
        <f t="shared" si="23"/>
        <v/>
      </c>
      <c r="L29" s="217" t="str">
        <f t="shared" si="24"/>
        <v/>
      </c>
      <c r="M29" s="220" t="str">
        <f t="shared" si="25"/>
        <v/>
      </c>
      <c r="N29" s="221" t="str">
        <f t="shared" si="26"/>
        <v/>
      </c>
      <c r="O29" s="222"/>
      <c r="P29" s="307"/>
      <c r="Q29" s="224"/>
      <c r="R29" s="268"/>
      <c r="S29" s="268"/>
      <c r="T29" s="288" t="str">
        <f t="shared" si="8"/>
        <v/>
      </c>
      <c r="U29" s="289" t="str">
        <f t="shared" si="9"/>
        <v/>
      </c>
      <c r="V29" s="290" t="str">
        <f t="shared" si="10"/>
        <v/>
      </c>
      <c r="W29" s="291" t="str">
        <f t="shared" si="11"/>
        <v/>
      </c>
      <c r="X29" s="292" t="str">
        <f t="shared" si="12"/>
        <v/>
      </c>
      <c r="Y29" s="293" t="str">
        <f t="shared" si="13"/>
        <v/>
      </c>
      <c r="Z29" s="280"/>
      <c r="AA29" s="294" t="str">
        <f>IF(ISBLANK(B29),"",IFERROR(20*($P$3+1-$B29)/$P$3,"20.0"))</f>
        <v/>
      </c>
      <c r="AB29" s="287" t="str">
        <f>IF(ISBLANK(B29),"",IFERROR(30*($P$3+1-$B29)/$P$3,"30.0"))</f>
        <v/>
      </c>
      <c r="AC29" s="295" t="str">
        <f>IF(ISBLANK(B29),"",IFERROR(30*($P$3-$B29)/($P$3-1)+10,"20.0"))</f>
        <v/>
      </c>
    </row>
    <row r="30" spans="1:29" ht="14.25">
      <c r="A30" s="184"/>
      <c r="B30" s="213"/>
      <c r="C30" s="214"/>
      <c r="D30" s="215"/>
      <c r="E30" s="216"/>
      <c r="F30" s="216"/>
      <c r="G30" s="217"/>
      <c r="H30" s="214" t="str">
        <f t="shared" si="22"/>
        <v/>
      </c>
      <c r="I30" s="218" t="str">
        <f t="shared" si="28"/>
        <v/>
      </c>
      <c r="J30" s="216"/>
      <c r="K30" s="219" t="str">
        <f t="shared" si="23"/>
        <v/>
      </c>
      <c r="L30" s="217" t="str">
        <f t="shared" si="24"/>
        <v/>
      </c>
      <c r="M30" s="220" t="str">
        <f t="shared" si="25"/>
        <v/>
      </c>
      <c r="N30" s="221" t="str">
        <f t="shared" si="26"/>
        <v/>
      </c>
      <c r="O30" s="222"/>
      <c r="P30" s="308"/>
      <c r="Q30" s="224"/>
      <c r="R30" s="268"/>
      <c r="S30" s="268"/>
      <c r="T30" s="288" t="str">
        <f t="shared" si="8"/>
        <v/>
      </c>
      <c r="U30" s="289" t="str">
        <f t="shared" si="9"/>
        <v/>
      </c>
      <c r="V30" s="290" t="str">
        <f t="shared" si="10"/>
        <v/>
      </c>
      <c r="W30" s="291" t="str">
        <f t="shared" si="11"/>
        <v/>
      </c>
      <c r="X30" s="292" t="str">
        <f t="shared" si="12"/>
        <v/>
      </c>
      <c r="Y30" s="293" t="str">
        <f t="shared" si="13"/>
        <v/>
      </c>
      <c r="Z30" s="280"/>
      <c r="AA30" s="294" t="str">
        <f>IF(ISBLANK(B30),"",IFERROR(20*($P$3+1-$B30)/$P$3,"20.0"))</f>
        <v/>
      </c>
      <c r="AB30" s="287" t="str">
        <f>IF(ISBLANK(B30),"",IFERROR(30*($P$3+1-$B30)/$P$3,"30.0"))</f>
        <v/>
      </c>
      <c r="AC30" s="295" t="str">
        <f>IF(ISBLANK(B30),"",IFERROR(30*($P$3-$B30)/($P$3-1)+10,"20.0"))</f>
        <v/>
      </c>
    </row>
    <row r="31" spans="1:29" ht="15" thickBot="1">
      <c r="A31" s="184"/>
      <c r="B31" s="225"/>
      <c r="C31" s="226"/>
      <c r="D31" s="227"/>
      <c r="E31" s="228"/>
      <c r="F31" s="228"/>
      <c r="G31" s="229"/>
      <c r="H31" s="226" t="str">
        <f t="shared" si="22"/>
        <v/>
      </c>
      <c r="I31" s="241" t="str">
        <f t="shared" si="28"/>
        <v/>
      </c>
      <c r="J31" s="228"/>
      <c r="K31" s="243" t="str">
        <f t="shared" si="23"/>
        <v/>
      </c>
      <c r="L31" s="229" t="str">
        <f t="shared" si="24"/>
        <v/>
      </c>
      <c r="M31" s="244" t="str">
        <f t="shared" si="25"/>
        <v/>
      </c>
      <c r="N31" s="245" t="str">
        <f t="shared" si="26"/>
        <v/>
      </c>
      <c r="O31" s="246"/>
      <c r="P31" s="259"/>
      <c r="Q31" s="239"/>
      <c r="R31" s="268"/>
      <c r="S31" s="268"/>
      <c r="T31" s="296" t="str">
        <f t="shared" si="8"/>
        <v/>
      </c>
      <c r="U31" s="297" t="str">
        <f t="shared" si="9"/>
        <v/>
      </c>
      <c r="V31" s="298" t="str">
        <f t="shared" si="10"/>
        <v/>
      </c>
      <c r="W31" s="299" t="str">
        <f t="shared" si="11"/>
        <v/>
      </c>
      <c r="X31" s="300" t="str">
        <f t="shared" si="12"/>
        <v/>
      </c>
      <c r="Y31" s="301" t="str">
        <f t="shared" si="13"/>
        <v/>
      </c>
      <c r="Z31" s="280"/>
      <c r="AA31" s="294" t="str">
        <f>IF(ISBLANK(B31),"",IFERROR(20*($P$3+1-$B31)/$P$3,"20.0"))</f>
        <v/>
      </c>
      <c r="AB31" s="287" t="str">
        <f>IF(ISBLANK(B31),"",IFERROR(30*($P$3+1-$B31)/$P$3,"30.0"))</f>
        <v/>
      </c>
      <c r="AC31" s="295" t="str">
        <f>IF(ISBLANK(B31),"",IFERROR(30*($P$3-$B31)/($P$3-1)+10,"20.0"))</f>
        <v/>
      </c>
    </row>
    <row r="32" spans="1:29" ht="15" customHeight="1">
      <c r="A32" s="184"/>
      <c r="B32" s="475" t="s">
        <v>270</v>
      </c>
      <c r="C32" s="476"/>
      <c r="D32" s="477"/>
      <c r="E32" s="263" t="s">
        <v>184</v>
      </c>
      <c r="F32" s="509" t="s">
        <v>363</v>
      </c>
      <c r="G32" s="510"/>
      <c r="H32" s="500" t="s">
        <v>372</v>
      </c>
      <c r="I32" s="501"/>
      <c r="J32" s="501"/>
      <c r="K32" s="501"/>
      <c r="L32" s="501"/>
      <c r="M32" s="501"/>
      <c r="N32" s="501"/>
      <c r="O32" s="501"/>
      <c r="P32" s="501"/>
      <c r="Q32" s="502"/>
      <c r="R32" s="309"/>
      <c r="S32" s="173"/>
      <c r="T32" s="275"/>
      <c r="U32" s="275"/>
      <c r="V32" s="275"/>
      <c r="Y32" s="275"/>
      <c r="Z32" s="275"/>
    </row>
    <row r="33" spans="1:26" ht="15" customHeight="1">
      <c r="A33" s="184"/>
      <c r="B33" s="478"/>
      <c r="C33" s="479"/>
      <c r="D33" s="480"/>
      <c r="E33" s="264" t="s">
        <v>185</v>
      </c>
      <c r="F33" s="473" t="s">
        <v>362</v>
      </c>
      <c r="G33" s="474"/>
      <c r="H33" s="503"/>
      <c r="I33" s="504"/>
      <c r="J33" s="504"/>
      <c r="K33" s="504"/>
      <c r="L33" s="504"/>
      <c r="M33" s="504"/>
      <c r="N33" s="504"/>
      <c r="O33" s="504"/>
      <c r="P33" s="504"/>
      <c r="Q33" s="505"/>
      <c r="R33" s="309"/>
      <c r="S33" s="173"/>
      <c r="T33" s="275"/>
      <c r="U33" s="275"/>
      <c r="V33" s="275"/>
      <c r="Y33" s="275"/>
      <c r="Z33" s="275"/>
    </row>
    <row r="34" spans="1:26" ht="23.25" customHeight="1">
      <c r="A34" s="184"/>
      <c r="B34" s="481"/>
      <c r="C34" s="482"/>
      <c r="D34" s="483"/>
      <c r="E34" s="264" t="s">
        <v>186</v>
      </c>
      <c r="F34" s="473" t="s">
        <v>361</v>
      </c>
      <c r="G34" s="474"/>
      <c r="H34" s="503"/>
      <c r="I34" s="504"/>
      <c r="J34" s="504"/>
      <c r="K34" s="504"/>
      <c r="L34" s="504"/>
      <c r="M34" s="504"/>
      <c r="N34" s="504"/>
      <c r="O34" s="504"/>
      <c r="P34" s="504"/>
      <c r="Q34" s="505"/>
      <c r="R34" s="309"/>
      <c r="S34" s="173"/>
      <c r="T34" s="275"/>
      <c r="U34" s="275"/>
      <c r="V34" s="275"/>
      <c r="Y34" s="275"/>
      <c r="Z34" s="275"/>
    </row>
    <row r="35" spans="1:26" ht="22.5" customHeight="1">
      <c r="A35" s="184"/>
      <c r="B35" s="484" t="s">
        <v>271</v>
      </c>
      <c r="C35" s="485"/>
      <c r="D35" s="486"/>
      <c r="E35" s="493" t="s">
        <v>188</v>
      </c>
      <c r="F35" s="473" t="str">
        <f>参照ﾃﾞｰﾀ!AL6</f>
        <v>フェニックス</v>
      </c>
      <c r="G35" s="474"/>
      <c r="H35" s="503"/>
      <c r="I35" s="504"/>
      <c r="J35" s="504"/>
      <c r="K35" s="504"/>
      <c r="L35" s="504"/>
      <c r="M35" s="504"/>
      <c r="N35" s="504"/>
      <c r="O35" s="504"/>
      <c r="P35" s="504"/>
      <c r="Q35" s="505"/>
      <c r="R35" s="309"/>
      <c r="S35" s="173"/>
      <c r="T35" s="275"/>
      <c r="U35" s="275"/>
      <c r="V35" s="275"/>
      <c r="Y35" s="275"/>
      <c r="Z35" s="275"/>
    </row>
    <row r="36" spans="1:26" ht="15" customHeight="1">
      <c r="A36" s="184"/>
      <c r="B36" s="487"/>
      <c r="C36" s="488"/>
      <c r="D36" s="489"/>
      <c r="E36" s="494"/>
      <c r="F36" s="473"/>
      <c r="G36" s="474"/>
      <c r="H36" s="503"/>
      <c r="I36" s="504"/>
      <c r="J36" s="504"/>
      <c r="K36" s="504"/>
      <c r="L36" s="504"/>
      <c r="M36" s="504"/>
      <c r="N36" s="504"/>
      <c r="O36" s="504"/>
      <c r="P36" s="504"/>
      <c r="Q36" s="505"/>
      <c r="R36" s="309"/>
      <c r="S36" s="173"/>
      <c r="T36" s="275"/>
      <c r="U36" s="275"/>
      <c r="V36" s="275"/>
      <c r="Y36" s="275"/>
      <c r="Z36" s="275"/>
    </row>
    <row r="37" spans="1:26" ht="15" customHeight="1">
      <c r="A37" s="184"/>
      <c r="B37" s="487"/>
      <c r="C37" s="488"/>
      <c r="D37" s="489"/>
      <c r="E37" s="263" t="s">
        <v>187</v>
      </c>
      <c r="F37" s="511">
        <v>43211</v>
      </c>
      <c r="G37" s="510"/>
      <c r="H37" s="503"/>
      <c r="I37" s="504"/>
      <c r="J37" s="504"/>
      <c r="K37" s="504"/>
      <c r="L37" s="504"/>
      <c r="M37" s="504"/>
      <c r="N37" s="504"/>
      <c r="O37" s="504"/>
      <c r="P37" s="504"/>
      <c r="Q37" s="505"/>
      <c r="R37" s="309"/>
      <c r="S37" s="173"/>
      <c r="T37" s="275"/>
      <c r="U37" s="275"/>
      <c r="V37" s="275"/>
      <c r="Y37" s="275"/>
      <c r="Z37" s="275"/>
    </row>
    <row r="38" spans="1:26" ht="15">
      <c r="A38" s="184"/>
      <c r="B38" s="487"/>
      <c r="C38" s="488"/>
      <c r="D38" s="489"/>
      <c r="E38" s="264" t="s">
        <v>201</v>
      </c>
      <c r="F38" s="473" t="s">
        <v>309</v>
      </c>
      <c r="G38" s="474"/>
      <c r="H38" s="503"/>
      <c r="I38" s="504"/>
      <c r="J38" s="504"/>
      <c r="K38" s="504"/>
      <c r="L38" s="504"/>
      <c r="M38" s="504"/>
      <c r="N38" s="504"/>
      <c r="O38" s="504"/>
      <c r="P38" s="504"/>
      <c r="Q38" s="505"/>
      <c r="R38" s="309"/>
      <c r="S38" s="173"/>
      <c r="T38" s="275"/>
      <c r="U38" s="275"/>
      <c r="V38" s="275"/>
      <c r="Y38" s="275"/>
      <c r="Z38" s="275"/>
    </row>
    <row r="39" spans="1:26" ht="30">
      <c r="A39" s="184"/>
      <c r="B39" s="487"/>
      <c r="C39" s="488"/>
      <c r="D39" s="489"/>
      <c r="E39" s="264" t="s">
        <v>188</v>
      </c>
      <c r="F39" s="473" t="str">
        <f>参照ﾃﾞｰﾀ!AL7</f>
        <v>かまくら</v>
      </c>
      <c r="G39" s="474"/>
      <c r="H39" s="503"/>
      <c r="I39" s="504"/>
      <c r="J39" s="504"/>
      <c r="K39" s="504"/>
      <c r="L39" s="504"/>
      <c r="M39" s="504"/>
      <c r="N39" s="504"/>
      <c r="O39" s="504"/>
      <c r="P39" s="504"/>
      <c r="Q39" s="505"/>
      <c r="R39" s="309"/>
      <c r="S39" s="173"/>
      <c r="T39" s="275"/>
      <c r="U39" s="275"/>
      <c r="V39" s="275"/>
      <c r="Y39" s="275"/>
      <c r="Z39" s="275"/>
    </row>
    <row r="40" spans="1:26" ht="15">
      <c r="A40" s="184"/>
      <c r="B40" s="487"/>
      <c r="C40" s="488"/>
      <c r="D40" s="489"/>
      <c r="E40" s="264"/>
      <c r="F40" s="473"/>
      <c r="G40" s="474"/>
      <c r="H40" s="503"/>
      <c r="I40" s="504"/>
      <c r="J40" s="504"/>
      <c r="K40" s="504"/>
      <c r="L40" s="504"/>
      <c r="M40" s="504"/>
      <c r="N40" s="504"/>
      <c r="O40" s="504"/>
      <c r="P40" s="504"/>
      <c r="Q40" s="505"/>
      <c r="R40" s="309"/>
      <c r="S40" s="173"/>
      <c r="T40" s="275"/>
      <c r="U40" s="275"/>
      <c r="V40" s="275"/>
      <c r="Y40" s="275"/>
      <c r="Z40" s="275"/>
    </row>
    <row r="41" spans="1:26" ht="11.25" customHeight="1" thickBot="1">
      <c r="A41" s="184"/>
      <c r="B41" s="490"/>
      <c r="C41" s="491"/>
      <c r="D41" s="492"/>
      <c r="E41" s="265"/>
      <c r="F41" s="495"/>
      <c r="G41" s="496"/>
      <c r="H41" s="506"/>
      <c r="I41" s="507"/>
      <c r="J41" s="507"/>
      <c r="K41" s="507"/>
      <c r="L41" s="507"/>
      <c r="M41" s="507"/>
      <c r="N41" s="507"/>
      <c r="O41" s="507"/>
      <c r="P41" s="507"/>
      <c r="Q41" s="508"/>
      <c r="R41" s="309"/>
      <c r="S41" s="173"/>
      <c r="T41" s="275"/>
      <c r="U41" s="275"/>
      <c r="V41" s="275"/>
      <c r="W41" s="275"/>
      <c r="X41" s="275"/>
      <c r="Y41" s="275"/>
      <c r="Z41" s="275"/>
    </row>
    <row r="42" spans="1:26">
      <c r="A42" s="184"/>
      <c r="B42" s="184"/>
      <c r="C42" s="184"/>
      <c r="D42" s="184"/>
      <c r="E42" s="184"/>
      <c r="F42" s="184"/>
      <c r="G42" s="184"/>
      <c r="H42" s="184"/>
      <c r="I42" s="184"/>
      <c r="J42" s="184"/>
      <c r="K42" s="184"/>
      <c r="L42" s="184"/>
      <c r="M42" s="184"/>
      <c r="N42" s="184"/>
      <c r="O42" s="184"/>
      <c r="P42" s="184"/>
      <c r="Q42" s="184"/>
      <c r="R42" s="184"/>
      <c r="S42" s="184"/>
    </row>
    <row r="43" spans="1:26">
      <c r="A43" s="184"/>
      <c r="B43" s="184"/>
      <c r="C43" s="184"/>
      <c r="D43" s="184"/>
      <c r="E43" s="184"/>
      <c r="F43" s="184"/>
      <c r="G43" s="184"/>
      <c r="H43" s="184"/>
      <c r="I43" s="184"/>
      <c r="J43" s="184"/>
      <c r="K43" s="184"/>
      <c r="L43" s="184"/>
      <c r="M43" s="184"/>
      <c r="N43" s="184"/>
      <c r="O43" s="184"/>
      <c r="P43" s="184"/>
      <c r="Q43" s="184"/>
      <c r="R43" s="184"/>
      <c r="S43" s="184"/>
    </row>
  </sheetData>
  <sheetProtection algorithmName="SHA-512" hashValue="nz49wI4j+DevCHw4IhbMhgfwfVEnGfSooN1MFS/bMCSNnqfqMEm8uf6idQ34RFkg0mDeHxXhWFu+dDNdosol5w==" saltValue="oeRIOSauuIqBPPesyNjq2w==" spinCount="100000" sheet="1" objects="1" scenarios="1"/>
  <sortState ref="C7:K19">
    <sortCondition ref="K7:K19"/>
  </sortState>
  <mergeCells count="18">
    <mergeCell ref="F38:G38"/>
    <mergeCell ref="F39:G39"/>
    <mergeCell ref="D2:F2"/>
    <mergeCell ref="E3:I3"/>
    <mergeCell ref="J3:K3"/>
    <mergeCell ref="P5:Q5"/>
    <mergeCell ref="B32:D34"/>
    <mergeCell ref="F32:G32"/>
    <mergeCell ref="H32:Q41"/>
    <mergeCell ref="F33:G33"/>
    <mergeCell ref="F34:G34"/>
    <mergeCell ref="B35:D41"/>
    <mergeCell ref="F40:G40"/>
    <mergeCell ref="F41:G41"/>
    <mergeCell ref="E35:E36"/>
    <mergeCell ref="F35:G35"/>
    <mergeCell ref="F36:G36"/>
    <mergeCell ref="F37:G37"/>
  </mergeCells>
  <phoneticPr fontId="42"/>
  <dataValidations count="8">
    <dataValidation type="list" allowBlank="1" showInputMessage="1" showErrorMessage="1" sqref="P2 F37:G37">
      <formula1>開催日</formula1>
    </dataValidation>
    <dataValidation type="list" allowBlank="1" showInputMessage="1" showErrorMessage="1" sqref="J3:K3">
      <formula1>暫定</formula1>
    </dataValidation>
    <dataValidation type="list" allowBlank="1" showInputMessage="1" showErrorMessage="1" sqref="G2">
      <formula1>月</formula1>
    </dataValidation>
    <dataValidation type="list" allowBlank="1" showInputMessage="1" showErrorMessage="1" sqref="N2 F38:G38">
      <formula1>コース</formula1>
    </dataValidation>
    <dataValidation type="list" showInputMessage="1" showErrorMessage="1" sqref="E3">
      <formula1>レース名</formula1>
    </dataValidation>
    <dataValidation type="list" allowBlank="1" showInputMessage="1" showErrorMessage="1" sqref="I6">
      <formula1>ＴＡ</formula1>
    </dataValidation>
    <dataValidation type="list" allowBlank="1" showInputMessage="1" showErrorMessage="1" sqref="D3">
      <formula1>レース番号</formula1>
    </dataValidation>
    <dataValidation type="list" errorStyle="warning" allowBlank="1" showInputMessage="1" showErrorMessage="1" sqref="Q2:R2">
      <formula1>時刻</formula1>
    </dataValidation>
  </dataValidations>
  <pageMargins left="0.47244094488188981" right="0.23622047244094491" top="0.25" bottom="0.13" header="0.23" footer="0.13"/>
  <pageSetup paperSize="9" scale="93" fitToWidth="0" orientation="landscape" horizontalDpi="4294967293"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2"/>
  <sheetViews>
    <sheetView zoomScale="85" zoomScaleNormal="85" workbookViewId="0">
      <selection activeCell="Z12" sqref="Z12"/>
    </sheetView>
  </sheetViews>
  <sheetFormatPr defaultRowHeight="13.5"/>
  <cols>
    <col min="1" max="1" width="1.75" style="274" customWidth="1"/>
    <col min="2" max="2" width="5" style="274" customWidth="1"/>
    <col min="3" max="3" width="7" style="274" customWidth="1"/>
    <col min="4" max="4" width="18" style="274" customWidth="1"/>
    <col min="5" max="5" width="8" style="274" customWidth="1"/>
    <col min="6" max="6" width="5" style="274" customWidth="1"/>
    <col min="7" max="7" width="10.875" style="274" customWidth="1"/>
    <col min="8" max="8" width="8.375" style="274" customWidth="1"/>
    <col min="9" max="9" width="8.625" style="274" customWidth="1"/>
    <col min="10" max="10" width="5" style="274" customWidth="1"/>
    <col min="11" max="11" width="8.5" style="274" customWidth="1"/>
    <col min="12" max="12" width="12.5" style="274" customWidth="1"/>
    <col min="13" max="13" width="9.5" style="274" customWidth="1"/>
    <col min="14" max="14" width="7.875" style="274" customWidth="1"/>
    <col min="15" max="15" width="8" style="274" customWidth="1"/>
    <col min="16" max="16" width="11.875" style="274" customWidth="1"/>
    <col min="17" max="17" width="12.25" style="274" customWidth="1"/>
    <col min="18" max="18" width="1.875" style="274" customWidth="1"/>
    <col min="19" max="19" width="4.875" style="274" customWidth="1"/>
    <col min="20" max="25" width="8.75" style="274" customWidth="1"/>
    <col min="26" max="26" width="4.5" style="274" customWidth="1"/>
    <col min="27" max="29" width="8" style="274" customWidth="1"/>
    <col min="30" max="16384" width="9" style="274"/>
  </cols>
  <sheetData>
    <row r="1" spans="1:29" ht="9.75" customHeight="1" thickBot="1">
      <c r="A1" s="184"/>
      <c r="B1" s="184"/>
      <c r="C1" s="184"/>
      <c r="D1" s="184"/>
      <c r="E1" s="184"/>
      <c r="F1" s="184"/>
      <c r="G1" s="184"/>
      <c r="H1" s="184"/>
      <c r="I1" s="184"/>
      <c r="J1" s="184"/>
      <c r="K1" s="184"/>
      <c r="L1" s="184"/>
      <c r="M1" s="184"/>
      <c r="N1" s="184"/>
      <c r="O1" s="184"/>
      <c r="P1" s="184"/>
      <c r="Q1" s="184"/>
      <c r="R1" s="184"/>
    </row>
    <row r="2" spans="1:29" ht="21">
      <c r="A2" s="184"/>
      <c r="B2" s="173"/>
      <c r="C2" s="174"/>
      <c r="D2" s="471" t="str">
        <f>参照ﾃﾞｰﾀ!P4</f>
        <v>2019年</v>
      </c>
      <c r="E2" s="471"/>
      <c r="F2" s="471"/>
      <c r="G2" s="175" t="s">
        <v>192</v>
      </c>
      <c r="H2" s="176"/>
      <c r="I2" s="177"/>
      <c r="J2" s="173"/>
      <c r="K2" s="178"/>
      <c r="L2" s="173"/>
      <c r="M2" s="179" t="s">
        <v>52</v>
      </c>
      <c r="N2" s="180" t="s">
        <v>309</v>
      </c>
      <c r="O2" s="181" t="s">
        <v>54</v>
      </c>
      <c r="P2" s="182">
        <v>43211</v>
      </c>
      <c r="Q2" s="183">
        <v>0.4548611111111111</v>
      </c>
      <c r="R2" s="173"/>
      <c r="S2" s="275"/>
      <c r="T2" s="276" t="s">
        <v>2</v>
      </c>
      <c r="U2" s="275"/>
      <c r="V2" s="275"/>
      <c r="W2" s="275"/>
      <c r="X2" s="275"/>
      <c r="Y2" s="275"/>
      <c r="Z2" s="275"/>
    </row>
    <row r="3" spans="1:29" ht="21.75" customHeight="1" thickBot="1">
      <c r="A3" s="184"/>
      <c r="B3" s="173"/>
      <c r="C3" s="184"/>
      <c r="D3" s="185" t="s">
        <v>248</v>
      </c>
      <c r="E3" s="472" t="s">
        <v>64</v>
      </c>
      <c r="F3" s="472"/>
      <c r="G3" s="472"/>
      <c r="H3" s="472"/>
      <c r="I3" s="472"/>
      <c r="J3" s="497" t="s">
        <v>86</v>
      </c>
      <c r="K3" s="497"/>
      <c r="L3" s="173"/>
      <c r="M3" s="186" t="s">
        <v>75</v>
      </c>
      <c r="N3" s="187">
        <v>4</v>
      </c>
      <c r="O3" s="188" t="s">
        <v>0</v>
      </c>
      <c r="P3" s="189">
        <v>14</v>
      </c>
      <c r="Q3" s="190" t="s">
        <v>376</v>
      </c>
      <c r="R3" s="173"/>
      <c r="S3" s="275"/>
      <c r="T3" s="275" t="s">
        <v>239</v>
      </c>
      <c r="U3" s="275"/>
      <c r="V3" s="275"/>
      <c r="W3" s="276" t="s">
        <v>2</v>
      </c>
      <c r="X3" s="275"/>
      <c r="Y3" s="275"/>
      <c r="Z3" s="275"/>
      <c r="AA3" s="277" t="s">
        <v>76</v>
      </c>
    </row>
    <row r="4" spans="1:29" ht="7.5" customHeight="1" thickBot="1">
      <c r="A4" s="184"/>
      <c r="B4" s="173"/>
      <c r="C4" s="173"/>
      <c r="D4" s="173"/>
      <c r="E4" s="173"/>
      <c r="F4" s="173"/>
      <c r="G4" s="173"/>
      <c r="H4" s="173"/>
      <c r="I4" s="173"/>
      <c r="J4" s="173"/>
      <c r="K4" s="173"/>
      <c r="L4" s="173"/>
      <c r="M4" s="173"/>
      <c r="N4" s="173"/>
      <c r="O4" s="173"/>
      <c r="P4" s="173"/>
      <c r="Q4" s="173"/>
      <c r="R4" s="173"/>
      <c r="S4" s="275"/>
      <c r="T4" s="275"/>
      <c r="U4" s="275"/>
      <c r="V4" s="275"/>
      <c r="W4" s="278"/>
      <c r="X4" s="275"/>
      <c r="Y4" s="275"/>
      <c r="Z4" s="275"/>
    </row>
    <row r="5" spans="1:29" ht="14.25">
      <c r="A5" s="184"/>
      <c r="B5" s="191" t="s">
        <v>3</v>
      </c>
      <c r="C5" s="192" t="s">
        <v>4</v>
      </c>
      <c r="D5" s="192" t="s">
        <v>5</v>
      </c>
      <c r="E5" s="192" t="s">
        <v>6</v>
      </c>
      <c r="F5" s="192" t="s">
        <v>7</v>
      </c>
      <c r="G5" s="192" t="s">
        <v>8</v>
      </c>
      <c r="H5" s="192" t="s">
        <v>9</v>
      </c>
      <c r="I5" s="192" t="s">
        <v>10</v>
      </c>
      <c r="J5" s="192" t="s">
        <v>11</v>
      </c>
      <c r="K5" s="192" t="s">
        <v>12</v>
      </c>
      <c r="L5" s="193" t="s">
        <v>273</v>
      </c>
      <c r="M5" s="193" t="s">
        <v>274</v>
      </c>
      <c r="N5" s="192" t="s">
        <v>71</v>
      </c>
      <c r="O5" s="192" t="s">
        <v>13</v>
      </c>
      <c r="P5" s="498" t="s">
        <v>70</v>
      </c>
      <c r="Q5" s="499"/>
      <c r="R5" s="268"/>
      <c r="S5" s="280"/>
      <c r="T5" s="281" t="s">
        <v>10</v>
      </c>
      <c r="U5" s="279" t="s">
        <v>10</v>
      </c>
      <c r="V5" s="282" t="s">
        <v>10</v>
      </c>
      <c r="W5" s="281" t="s">
        <v>10</v>
      </c>
      <c r="X5" s="279" t="s">
        <v>10</v>
      </c>
      <c r="Y5" s="282" t="s">
        <v>10</v>
      </c>
      <c r="Z5" s="280"/>
      <c r="AA5" s="281" t="s">
        <v>13</v>
      </c>
      <c r="AB5" s="279" t="s">
        <v>13</v>
      </c>
      <c r="AC5" s="282" t="s">
        <v>13</v>
      </c>
    </row>
    <row r="6" spans="1:29" ht="14.25">
      <c r="A6" s="184"/>
      <c r="B6" s="194"/>
      <c r="C6" s="195" t="s">
        <v>14</v>
      </c>
      <c r="D6" s="196"/>
      <c r="E6" s="197" t="s">
        <v>15</v>
      </c>
      <c r="F6" s="197"/>
      <c r="G6" s="195" t="s">
        <v>16</v>
      </c>
      <c r="H6" s="197" t="s">
        <v>17</v>
      </c>
      <c r="I6" s="195" t="s">
        <v>374</v>
      </c>
      <c r="J6" s="197" t="s">
        <v>18</v>
      </c>
      <c r="K6" s="197" t="s">
        <v>17</v>
      </c>
      <c r="L6" s="195" t="s">
        <v>16</v>
      </c>
      <c r="M6" s="197" t="s">
        <v>46</v>
      </c>
      <c r="N6" s="197" t="s">
        <v>19</v>
      </c>
      <c r="O6" s="198" t="str">
        <f>"MAX=20"</f>
        <v>MAX=20</v>
      </c>
      <c r="P6" s="199"/>
      <c r="Q6" s="200"/>
      <c r="R6" s="269"/>
      <c r="S6" s="284"/>
      <c r="T6" s="285" t="s">
        <v>20</v>
      </c>
      <c r="U6" s="283" t="s">
        <v>22</v>
      </c>
      <c r="V6" s="286" t="s">
        <v>21</v>
      </c>
      <c r="W6" s="285" t="s">
        <v>20</v>
      </c>
      <c r="X6" s="283" t="s">
        <v>22</v>
      </c>
      <c r="Y6" s="286" t="s">
        <v>21</v>
      </c>
      <c r="Z6" s="284"/>
      <c r="AA6" s="285" t="s">
        <v>78</v>
      </c>
      <c r="AB6" s="283" t="s">
        <v>79</v>
      </c>
      <c r="AC6" s="286" t="s">
        <v>80</v>
      </c>
    </row>
    <row r="7" spans="1:29" ht="14.25">
      <c r="A7" s="184"/>
      <c r="B7" s="201">
        <v>1</v>
      </c>
      <c r="C7" s="202">
        <v>150</v>
      </c>
      <c r="D7" s="203" t="str">
        <f t="shared" ref="D7:D18" si="0">IF(ISBLANK(C7),"",VLOOKUP(C7,各艇データ,2,FALSE))</f>
        <v>SHARK X</v>
      </c>
      <c r="E7" s="204">
        <f t="shared" ref="E7:E18" si="1">IF($I$6="Ⅰ",T7,IF($I$6="Ⅱ",U7,IF($I$6="Ⅲ",V7,"")))</f>
        <v>9.06</v>
      </c>
      <c r="F7" s="204">
        <v>1</v>
      </c>
      <c r="G7" s="205">
        <v>0.51971064814814816</v>
      </c>
      <c r="H7" s="202">
        <f t="shared" ref="H7:H18" si="2">IFERROR(IF(G7-$Q$2&lt;=0,"",(G7-$Q$2)*86400),"")</f>
        <v>5603.0000000000009</v>
      </c>
      <c r="I7" s="206">
        <f t="shared" ref="I7:I18" si="3">IF($I$6="Ⅰ",W7,IF($I$6="Ⅱ",X7,IF($I$6="Ⅲ",Y7,"")))</f>
        <v>936.4</v>
      </c>
      <c r="J7" s="204"/>
      <c r="K7" s="207">
        <f t="shared" ref="K7:K18" si="4">IFERROR(H7*(1+0.01*J7)-I7*$N$3,"")</f>
        <v>1857.400000000001</v>
      </c>
      <c r="L7" s="205">
        <f>IFERROR((K7-$K$7)/86400,"")</f>
        <v>0</v>
      </c>
      <c r="M7" s="208">
        <f t="shared" ref="M7:M17" si="5">IFERROR((K7-$K$7)/$N$3,"")</f>
        <v>0</v>
      </c>
      <c r="N7" s="209">
        <f t="shared" ref="N7:N17" si="6">IFERROR($N$3/(H7/3600),"")</f>
        <v>2.5700517579867928</v>
      </c>
      <c r="O7" s="210">
        <f>ROUND(IF($O$6="MAX=20",AA7,IF($O$6="MAX=30",AB7,IF($O$6="MAX=40",AC7,""))),1)</f>
        <v>20</v>
      </c>
      <c r="P7" s="211"/>
      <c r="Q7" s="212"/>
      <c r="R7" s="268"/>
      <c r="S7" s="280"/>
      <c r="T7" s="288">
        <f t="shared" ref="T7:T31" si="7">IF(ISBLANK(C7),"",VLOOKUP(C7,各艇データ,3,FALSE))</f>
        <v>9.06</v>
      </c>
      <c r="U7" s="289">
        <f t="shared" ref="U7:U31" si="8">IF(ISBLANK(C7),"",VLOOKUP(C7,各艇データ,4,FALSE))</f>
        <v>8.68</v>
      </c>
      <c r="V7" s="290">
        <f t="shared" ref="V7:V31" si="9">IF(ISBLANK(C7),"",VLOOKUP(C7,各艇データ,5,FALSE))</f>
        <v>8.5</v>
      </c>
      <c r="W7" s="291">
        <f t="shared" ref="W7:W31" si="10">IF(ISBLANK(C7),"",VLOOKUP(C7,各艇データ,6,FALSE))</f>
        <v>936.4</v>
      </c>
      <c r="X7" s="292">
        <f t="shared" ref="X7:X31" si="11">IF(ISBLANK(C7),"",VLOOKUP(C7,各艇データ,7,FALSE))</f>
        <v>588.9</v>
      </c>
      <c r="Y7" s="293">
        <f t="shared" ref="Y7:Y31" si="12">IF(ISBLANK(C7),"",VLOOKUP(C7,各艇データ,8,FALSE))</f>
        <v>524.4</v>
      </c>
      <c r="Z7" s="280"/>
      <c r="AA7" s="294">
        <f>IF(ISBLANK(B7),"",IFERROR(20*($P$3+1-$B7)/$P$3,"20.0"))</f>
        <v>20</v>
      </c>
      <c r="AB7" s="287">
        <f>IF(ISBLANK(B7),"",IFERROR(30*($P$3+1-$B7)/$P$3,"30.0"))</f>
        <v>30</v>
      </c>
      <c r="AC7" s="295">
        <f>IF(ISBLANK(B7),"",IFERROR(30*($P$3-$B7)/($P$3-1)+10,"20.0"))</f>
        <v>40</v>
      </c>
    </row>
    <row r="8" spans="1:29" ht="14.25">
      <c r="A8" s="184"/>
      <c r="B8" s="213">
        <v>2</v>
      </c>
      <c r="C8" s="214">
        <v>5752</v>
      </c>
      <c r="D8" s="215" t="str">
        <f t="shared" si="0"/>
        <v>アルファ</v>
      </c>
      <c r="E8" s="216">
        <f t="shared" si="1"/>
        <v>10.43</v>
      </c>
      <c r="F8" s="216">
        <v>2</v>
      </c>
      <c r="G8" s="217">
        <v>0.52115740740740735</v>
      </c>
      <c r="H8" s="214">
        <f t="shared" si="2"/>
        <v>5727.9999999999955</v>
      </c>
      <c r="I8" s="218">
        <f t="shared" si="3"/>
        <v>892.7</v>
      </c>
      <c r="J8" s="216"/>
      <c r="K8" s="219">
        <f t="shared" si="4"/>
        <v>2157.1999999999953</v>
      </c>
      <c r="L8" s="217">
        <f>IFERROR((K8-$K$7)/86400,"")</f>
        <v>3.4699074074073409E-3</v>
      </c>
      <c r="M8" s="220">
        <f t="shared" si="5"/>
        <v>74.949999999998568</v>
      </c>
      <c r="N8" s="221">
        <f t="shared" si="6"/>
        <v>2.5139664804469293</v>
      </c>
      <c r="O8" s="222">
        <f t="shared" ref="O8:O16" si="13">ROUND(IF($O$6="MAX=20",AA8,IF($O$6="MAX=30",AB8,IF($O$6="MAX=40",AC8,""))),1)</f>
        <v>18.600000000000001</v>
      </c>
      <c r="P8" s="223"/>
      <c r="Q8" s="224"/>
      <c r="R8" s="268"/>
      <c r="S8" s="280"/>
      <c r="T8" s="288">
        <f t="shared" si="7"/>
        <v>10.43</v>
      </c>
      <c r="U8" s="289">
        <f t="shared" si="8"/>
        <v>10.18</v>
      </c>
      <c r="V8" s="290">
        <f t="shared" si="9"/>
        <v>9.92</v>
      </c>
      <c r="W8" s="291">
        <f t="shared" si="10"/>
        <v>892.7</v>
      </c>
      <c r="X8" s="292">
        <f t="shared" si="11"/>
        <v>557</v>
      </c>
      <c r="Y8" s="293">
        <f t="shared" si="12"/>
        <v>492.1</v>
      </c>
      <c r="Z8" s="280"/>
      <c r="AA8" s="294">
        <f t="shared" ref="AA8:AA31" si="14">IF(ISBLANK(B8),"",IFERROR(20*($P$3+1-$B8)/$P$3,"20.0"))</f>
        <v>18.571428571428573</v>
      </c>
      <c r="AB8" s="287">
        <f t="shared" ref="AB8:AB31" si="15">IF(ISBLANK(B8),"",IFERROR(30*($P$3+1-$B8)/$P$3,"30.0"))</f>
        <v>27.857142857142858</v>
      </c>
      <c r="AC8" s="295">
        <f t="shared" ref="AC8:AC31" si="16">IF(ISBLANK(B8),"",IFERROR(30*($P$3-$B8)/($P$3-1)+10,"20.0"))</f>
        <v>37.692307692307693</v>
      </c>
    </row>
    <row r="9" spans="1:29" ht="14.25">
      <c r="A9" s="184"/>
      <c r="B9" s="213">
        <v>3</v>
      </c>
      <c r="C9" s="214">
        <v>1611</v>
      </c>
      <c r="D9" s="215" t="str">
        <f t="shared" si="0"/>
        <v>ﾈﾌﾟﾁｭｰﾝXⅡ</v>
      </c>
      <c r="E9" s="216">
        <f t="shared" si="1"/>
        <v>8.0299999999999994</v>
      </c>
      <c r="F9" s="216">
        <v>7</v>
      </c>
      <c r="G9" s="217">
        <v>0.54224537037037035</v>
      </c>
      <c r="H9" s="214">
        <f t="shared" si="2"/>
        <v>7549.9999999999991</v>
      </c>
      <c r="I9" s="218">
        <f t="shared" si="3"/>
        <v>975.7</v>
      </c>
      <c r="J9" s="216"/>
      <c r="K9" s="219">
        <f t="shared" si="4"/>
        <v>3647.1999999999989</v>
      </c>
      <c r="L9" s="217">
        <f t="shared" ref="L9:L17" si="17">IFERROR((K9-$K$7)/86400,"")</f>
        <v>2.0715277777777753E-2</v>
      </c>
      <c r="M9" s="220">
        <f t="shared" si="5"/>
        <v>447.44999999999948</v>
      </c>
      <c r="N9" s="221">
        <f t="shared" si="6"/>
        <v>1.9072847682119209</v>
      </c>
      <c r="O9" s="222">
        <f t="shared" si="13"/>
        <v>17.100000000000001</v>
      </c>
      <c r="P9" s="223"/>
      <c r="Q9" s="224"/>
      <c r="R9" s="268"/>
      <c r="S9" s="280"/>
      <c r="T9" s="288">
        <f t="shared" si="7"/>
        <v>8.0299999999999994</v>
      </c>
      <c r="U9" s="289">
        <f t="shared" si="8"/>
        <v>8.15</v>
      </c>
      <c r="V9" s="290">
        <f t="shared" si="9"/>
        <v>7.98</v>
      </c>
      <c r="W9" s="291">
        <f t="shared" si="10"/>
        <v>975.7</v>
      </c>
      <c r="X9" s="292">
        <f t="shared" si="11"/>
        <v>602.20000000000005</v>
      </c>
      <c r="Y9" s="293">
        <f t="shared" si="12"/>
        <v>538.1</v>
      </c>
      <c r="Z9" s="280"/>
      <c r="AA9" s="294">
        <f t="shared" si="14"/>
        <v>17.142857142857142</v>
      </c>
      <c r="AB9" s="287">
        <f t="shared" si="15"/>
        <v>25.714285714285715</v>
      </c>
      <c r="AC9" s="295">
        <f t="shared" si="16"/>
        <v>35.384615384615387</v>
      </c>
    </row>
    <row r="10" spans="1:29" ht="14.25">
      <c r="A10" s="184"/>
      <c r="B10" s="213">
        <v>4</v>
      </c>
      <c r="C10" s="214">
        <v>1733</v>
      </c>
      <c r="D10" s="215" t="str">
        <f t="shared" si="0"/>
        <v>ケロニア</v>
      </c>
      <c r="E10" s="216">
        <f t="shared" si="1"/>
        <v>9.67</v>
      </c>
      <c r="F10" s="216">
        <v>4</v>
      </c>
      <c r="G10" s="217">
        <v>0.53967592592592595</v>
      </c>
      <c r="H10" s="214">
        <f t="shared" si="2"/>
        <v>7328.0000000000027</v>
      </c>
      <c r="I10" s="218">
        <f t="shared" si="3"/>
        <v>915.7</v>
      </c>
      <c r="J10" s="216"/>
      <c r="K10" s="219">
        <f t="shared" si="4"/>
        <v>3665.2000000000025</v>
      </c>
      <c r="L10" s="217">
        <f t="shared" si="17"/>
        <v>2.0923611111111129E-2</v>
      </c>
      <c r="M10" s="220">
        <f t="shared" si="5"/>
        <v>451.95000000000039</v>
      </c>
      <c r="N10" s="221">
        <f t="shared" si="6"/>
        <v>1.9650655021834054</v>
      </c>
      <c r="O10" s="222">
        <f t="shared" si="13"/>
        <v>15.7</v>
      </c>
      <c r="P10" s="303"/>
      <c r="Q10" s="224"/>
      <c r="R10" s="268"/>
      <c r="S10" s="280"/>
      <c r="T10" s="288">
        <f t="shared" si="7"/>
        <v>9.67</v>
      </c>
      <c r="U10" s="289">
        <f t="shared" si="8"/>
        <v>9.57</v>
      </c>
      <c r="V10" s="290">
        <f t="shared" si="9"/>
        <v>9.4</v>
      </c>
      <c r="W10" s="291">
        <f t="shared" si="10"/>
        <v>915.7</v>
      </c>
      <c r="X10" s="292">
        <f t="shared" si="11"/>
        <v>569.29999999999995</v>
      </c>
      <c r="Y10" s="293">
        <f t="shared" si="12"/>
        <v>503.2</v>
      </c>
      <c r="Z10" s="280"/>
      <c r="AA10" s="294">
        <f t="shared" si="14"/>
        <v>15.714285714285714</v>
      </c>
      <c r="AB10" s="287">
        <f t="shared" si="15"/>
        <v>23.571428571428573</v>
      </c>
      <c r="AC10" s="295">
        <f t="shared" si="16"/>
        <v>33.07692307692308</v>
      </c>
    </row>
    <row r="11" spans="1:29" ht="14.25">
      <c r="A11" s="184"/>
      <c r="B11" s="225">
        <v>5</v>
      </c>
      <c r="C11" s="226">
        <v>6732</v>
      </c>
      <c r="D11" s="227" t="str">
        <f t="shared" si="0"/>
        <v>アイデアル</v>
      </c>
      <c r="E11" s="228">
        <f t="shared" si="1"/>
        <v>9.59</v>
      </c>
      <c r="F11" s="228">
        <v>5</v>
      </c>
      <c r="G11" s="229">
        <v>0.54037037037037039</v>
      </c>
      <c r="H11" s="230">
        <f t="shared" si="2"/>
        <v>7388.0000000000018</v>
      </c>
      <c r="I11" s="231">
        <f t="shared" si="3"/>
        <v>918.4</v>
      </c>
      <c r="J11" s="232"/>
      <c r="K11" s="233">
        <f t="shared" si="4"/>
        <v>3714.4000000000019</v>
      </c>
      <c r="L11" s="234">
        <f t="shared" si="17"/>
        <v>2.1493055555555567E-2</v>
      </c>
      <c r="M11" s="235">
        <f t="shared" si="5"/>
        <v>464.25000000000023</v>
      </c>
      <c r="N11" s="236">
        <f t="shared" si="6"/>
        <v>1.9491066594477526</v>
      </c>
      <c r="O11" s="237">
        <f t="shared" si="13"/>
        <v>14.3</v>
      </c>
      <c r="P11" s="238"/>
      <c r="Q11" s="239"/>
      <c r="R11" s="268"/>
      <c r="S11" s="280"/>
      <c r="T11" s="288">
        <f t="shared" si="7"/>
        <v>9.59</v>
      </c>
      <c r="U11" s="289">
        <f t="shared" si="8"/>
        <v>9.1300000000000008</v>
      </c>
      <c r="V11" s="290">
        <f t="shared" si="9"/>
        <v>8.76</v>
      </c>
      <c r="W11" s="291">
        <f t="shared" si="10"/>
        <v>918.4</v>
      </c>
      <c r="X11" s="292">
        <f t="shared" si="11"/>
        <v>578.79999999999995</v>
      </c>
      <c r="Y11" s="293">
        <f t="shared" si="12"/>
        <v>518</v>
      </c>
      <c r="Z11" s="280"/>
      <c r="AA11" s="294">
        <f t="shared" si="14"/>
        <v>14.285714285714286</v>
      </c>
      <c r="AB11" s="287">
        <f t="shared" si="15"/>
        <v>21.428571428571427</v>
      </c>
      <c r="AC11" s="295">
        <f t="shared" si="16"/>
        <v>30.76923076923077</v>
      </c>
    </row>
    <row r="12" spans="1:29" ht="14.25">
      <c r="A12" s="184"/>
      <c r="B12" s="201">
        <v>6</v>
      </c>
      <c r="C12" s="202">
        <v>380</v>
      </c>
      <c r="D12" s="203" t="str">
        <f t="shared" si="0"/>
        <v>テティス</v>
      </c>
      <c r="E12" s="204">
        <v>10.65</v>
      </c>
      <c r="F12" s="204">
        <v>3</v>
      </c>
      <c r="G12" s="205">
        <v>0.53949074074074077</v>
      </c>
      <c r="H12" s="202">
        <f t="shared" si="2"/>
        <v>7312.0000000000027</v>
      </c>
      <c r="I12" s="206">
        <f t="shared" si="3"/>
        <v>886.3</v>
      </c>
      <c r="J12" s="204"/>
      <c r="K12" s="207">
        <f t="shared" si="4"/>
        <v>3766.8000000000029</v>
      </c>
      <c r="L12" s="205">
        <f t="shared" si="17"/>
        <v>2.209953703703706E-2</v>
      </c>
      <c r="M12" s="208">
        <f t="shared" si="5"/>
        <v>477.35000000000048</v>
      </c>
      <c r="N12" s="209">
        <f t="shared" si="6"/>
        <v>1.9693654266958416</v>
      </c>
      <c r="O12" s="210">
        <f t="shared" si="13"/>
        <v>12.9</v>
      </c>
      <c r="P12" s="184"/>
      <c r="Q12" s="212"/>
      <c r="R12" s="268"/>
      <c r="S12" s="280"/>
      <c r="T12" s="288">
        <v>10.65</v>
      </c>
      <c r="U12" s="289">
        <v>10.27</v>
      </c>
      <c r="V12" s="290">
        <v>9.94</v>
      </c>
      <c r="W12" s="291">
        <v>886.3</v>
      </c>
      <c r="X12" s="292">
        <v>555.5</v>
      </c>
      <c r="Y12" s="293">
        <v>491.7</v>
      </c>
      <c r="Z12" s="280"/>
      <c r="AA12" s="294">
        <f t="shared" si="14"/>
        <v>12.857142857142858</v>
      </c>
      <c r="AB12" s="287">
        <f t="shared" si="15"/>
        <v>19.285714285714285</v>
      </c>
      <c r="AC12" s="295">
        <f t="shared" si="16"/>
        <v>28.46153846153846</v>
      </c>
    </row>
    <row r="13" spans="1:29" ht="14.25">
      <c r="A13" s="184"/>
      <c r="B13" s="213">
        <v>7</v>
      </c>
      <c r="C13" s="214">
        <v>321</v>
      </c>
      <c r="D13" s="215" t="str">
        <f t="shared" si="0"/>
        <v>かまくら</v>
      </c>
      <c r="E13" s="216">
        <f t="shared" si="1"/>
        <v>10.15</v>
      </c>
      <c r="F13" s="216">
        <v>6</v>
      </c>
      <c r="G13" s="217">
        <v>0.54049768518518515</v>
      </c>
      <c r="H13" s="214">
        <f t="shared" si="2"/>
        <v>7398.9999999999973</v>
      </c>
      <c r="I13" s="218">
        <f t="shared" si="3"/>
        <v>900.8</v>
      </c>
      <c r="J13" s="216"/>
      <c r="K13" s="219">
        <f t="shared" si="4"/>
        <v>3795.7999999999975</v>
      </c>
      <c r="L13" s="217">
        <f t="shared" si="17"/>
        <v>2.2435185185185145E-2</v>
      </c>
      <c r="M13" s="220">
        <f t="shared" si="5"/>
        <v>484.59999999999911</v>
      </c>
      <c r="N13" s="221">
        <f t="shared" si="6"/>
        <v>1.9462089471550217</v>
      </c>
      <c r="O13" s="222">
        <f t="shared" si="13"/>
        <v>11.4</v>
      </c>
      <c r="P13" s="223"/>
      <c r="Q13" s="224"/>
      <c r="R13" s="268"/>
      <c r="S13" s="280"/>
      <c r="T13" s="288">
        <f t="shared" si="7"/>
        <v>10.15</v>
      </c>
      <c r="U13" s="289">
        <f t="shared" si="8"/>
        <v>9.51</v>
      </c>
      <c r="V13" s="290">
        <f t="shared" si="9"/>
        <v>9.44</v>
      </c>
      <c r="W13" s="291">
        <f t="shared" si="10"/>
        <v>900.8</v>
      </c>
      <c r="X13" s="292">
        <f t="shared" si="11"/>
        <v>570.5</v>
      </c>
      <c r="Y13" s="293">
        <f t="shared" si="12"/>
        <v>502.2</v>
      </c>
      <c r="Z13" s="280"/>
      <c r="AA13" s="294">
        <f t="shared" si="14"/>
        <v>11.428571428571429</v>
      </c>
      <c r="AB13" s="287">
        <f t="shared" si="15"/>
        <v>17.142857142857142</v>
      </c>
      <c r="AC13" s="295">
        <f t="shared" si="16"/>
        <v>26.153846153846153</v>
      </c>
    </row>
    <row r="14" spans="1:29" ht="14.25">
      <c r="A14" s="184"/>
      <c r="B14" s="213">
        <v>8</v>
      </c>
      <c r="C14" s="214">
        <v>2212</v>
      </c>
      <c r="D14" s="215" t="str">
        <f t="shared" si="0"/>
        <v>衣笠</v>
      </c>
      <c r="E14" s="216">
        <f t="shared" si="1"/>
        <v>8.8000000000000007</v>
      </c>
      <c r="F14" s="216">
        <v>8</v>
      </c>
      <c r="G14" s="217">
        <v>0.54465277777777776</v>
      </c>
      <c r="H14" s="214">
        <f t="shared" si="2"/>
        <v>7757.9999999999991</v>
      </c>
      <c r="I14" s="218">
        <f t="shared" si="3"/>
        <v>945.7</v>
      </c>
      <c r="J14" s="216"/>
      <c r="K14" s="219">
        <f t="shared" si="4"/>
        <v>3975.1999999999989</v>
      </c>
      <c r="L14" s="217">
        <f t="shared" si="17"/>
        <v>2.451157407407405E-2</v>
      </c>
      <c r="M14" s="220">
        <f t="shared" si="5"/>
        <v>529.44999999999948</v>
      </c>
      <c r="N14" s="221">
        <f t="shared" si="6"/>
        <v>1.8561484918793505</v>
      </c>
      <c r="O14" s="222">
        <f t="shared" si="13"/>
        <v>10</v>
      </c>
      <c r="P14" s="223"/>
      <c r="Q14" s="224"/>
      <c r="R14" s="268"/>
      <c r="S14" s="280"/>
      <c r="T14" s="288">
        <f t="shared" si="7"/>
        <v>8.8000000000000007</v>
      </c>
      <c r="U14" s="289">
        <f t="shared" si="8"/>
        <v>9.0399999999999991</v>
      </c>
      <c r="V14" s="290">
        <f t="shared" si="9"/>
        <v>9.0399999999999991</v>
      </c>
      <c r="W14" s="291">
        <f t="shared" si="10"/>
        <v>945.7</v>
      </c>
      <c r="X14" s="292">
        <f t="shared" si="11"/>
        <v>580.79999999999995</v>
      </c>
      <c r="Y14" s="293">
        <f t="shared" si="12"/>
        <v>511.4</v>
      </c>
      <c r="Z14" s="280"/>
      <c r="AA14" s="294">
        <f t="shared" si="14"/>
        <v>10</v>
      </c>
      <c r="AB14" s="287">
        <f t="shared" si="15"/>
        <v>15</v>
      </c>
      <c r="AC14" s="295">
        <f t="shared" si="16"/>
        <v>23.846153846153847</v>
      </c>
    </row>
    <row r="15" spans="1:29" ht="14.25">
      <c r="A15" s="184"/>
      <c r="B15" s="213">
        <v>9</v>
      </c>
      <c r="C15" s="214">
        <v>199</v>
      </c>
      <c r="D15" s="215" t="str">
        <f t="shared" si="0"/>
        <v>サ－モン4</v>
      </c>
      <c r="E15" s="216">
        <f t="shared" si="1"/>
        <v>8.99</v>
      </c>
      <c r="F15" s="216">
        <v>9</v>
      </c>
      <c r="G15" s="217">
        <v>0.56403935185185183</v>
      </c>
      <c r="H15" s="214">
        <f t="shared" si="2"/>
        <v>9432.9999999999982</v>
      </c>
      <c r="I15" s="218">
        <f t="shared" si="3"/>
        <v>939</v>
      </c>
      <c r="J15" s="216"/>
      <c r="K15" s="219">
        <f t="shared" si="4"/>
        <v>5676.9999999999982</v>
      </c>
      <c r="L15" s="217">
        <f t="shared" si="17"/>
        <v>4.4208333333333301E-2</v>
      </c>
      <c r="M15" s="220">
        <f t="shared" si="5"/>
        <v>954.8999999999993</v>
      </c>
      <c r="N15" s="221">
        <f t="shared" si="6"/>
        <v>1.5265557086822859</v>
      </c>
      <c r="O15" s="222">
        <f t="shared" si="13"/>
        <v>8.6</v>
      </c>
      <c r="P15" s="223"/>
      <c r="Q15" s="224"/>
      <c r="R15" s="268"/>
      <c r="S15" s="280"/>
      <c r="T15" s="288">
        <f t="shared" si="7"/>
        <v>8.99</v>
      </c>
      <c r="U15" s="289">
        <f t="shared" si="8"/>
        <v>9.15</v>
      </c>
      <c r="V15" s="290">
        <f t="shared" si="9"/>
        <v>9.1</v>
      </c>
      <c r="W15" s="291">
        <f t="shared" si="10"/>
        <v>939</v>
      </c>
      <c r="X15" s="292">
        <f t="shared" si="11"/>
        <v>578.20000000000005</v>
      </c>
      <c r="Y15" s="293">
        <f t="shared" si="12"/>
        <v>509.9</v>
      </c>
      <c r="Z15" s="280"/>
      <c r="AA15" s="294">
        <f t="shared" si="14"/>
        <v>8.5714285714285712</v>
      </c>
      <c r="AB15" s="287">
        <f t="shared" si="15"/>
        <v>12.857142857142858</v>
      </c>
      <c r="AC15" s="295">
        <f t="shared" si="16"/>
        <v>21.53846153846154</v>
      </c>
    </row>
    <row r="16" spans="1:29" ht="14.25">
      <c r="A16" s="184"/>
      <c r="B16" s="225">
        <v>10</v>
      </c>
      <c r="C16" s="226">
        <v>131</v>
      </c>
      <c r="D16" s="227" t="str">
        <f t="shared" si="0"/>
        <v>ふるたか</v>
      </c>
      <c r="E16" s="228">
        <f t="shared" si="1"/>
        <v>8.2899999999999991</v>
      </c>
      <c r="F16" s="228">
        <v>10</v>
      </c>
      <c r="G16" s="229">
        <v>0.57483796296296297</v>
      </c>
      <c r="H16" s="226">
        <f t="shared" si="2"/>
        <v>10366</v>
      </c>
      <c r="I16" s="241">
        <f t="shared" si="3"/>
        <v>965.1</v>
      </c>
      <c r="J16" s="228"/>
      <c r="K16" s="243">
        <f t="shared" si="4"/>
        <v>6505.6</v>
      </c>
      <c r="L16" s="229">
        <f t="shared" si="17"/>
        <v>5.3798611111111096E-2</v>
      </c>
      <c r="M16" s="244">
        <f t="shared" si="5"/>
        <v>1162.0499999999997</v>
      </c>
      <c r="N16" s="245">
        <f t="shared" si="6"/>
        <v>1.3891568589619911</v>
      </c>
      <c r="O16" s="246">
        <f t="shared" si="13"/>
        <v>7.1</v>
      </c>
      <c r="P16" s="238"/>
      <c r="Q16" s="239"/>
      <c r="R16" s="268"/>
      <c r="S16" s="280"/>
      <c r="T16" s="288">
        <f t="shared" si="7"/>
        <v>8.2899999999999991</v>
      </c>
      <c r="U16" s="289">
        <f t="shared" si="8"/>
        <v>8.31</v>
      </c>
      <c r="V16" s="290">
        <f t="shared" si="9"/>
        <v>8.0500000000000007</v>
      </c>
      <c r="W16" s="291">
        <f t="shared" si="10"/>
        <v>965.1</v>
      </c>
      <c r="X16" s="292">
        <f t="shared" si="11"/>
        <v>598.20000000000005</v>
      </c>
      <c r="Y16" s="293">
        <f t="shared" si="12"/>
        <v>536.29999999999995</v>
      </c>
      <c r="Z16" s="280"/>
      <c r="AA16" s="294">
        <f t="shared" si="14"/>
        <v>7.1428571428571432</v>
      </c>
      <c r="AB16" s="287">
        <f t="shared" si="15"/>
        <v>10.714285714285714</v>
      </c>
      <c r="AC16" s="295">
        <f t="shared" si="16"/>
        <v>19.23076923076923</v>
      </c>
    </row>
    <row r="17" spans="1:29" ht="14.25">
      <c r="A17" s="184"/>
      <c r="B17" s="201">
        <v>11</v>
      </c>
      <c r="C17" s="202">
        <v>346</v>
      </c>
      <c r="D17" s="203" t="str">
        <f t="shared" si="0"/>
        <v>飛車角</v>
      </c>
      <c r="E17" s="204">
        <f t="shared" si="1"/>
        <v>8.4</v>
      </c>
      <c r="F17" s="204">
        <v>11</v>
      </c>
      <c r="G17" s="205">
        <v>0.5753935185185185</v>
      </c>
      <c r="H17" s="247">
        <f t="shared" si="2"/>
        <v>10413.999999999998</v>
      </c>
      <c r="I17" s="248">
        <f t="shared" si="3"/>
        <v>960.8</v>
      </c>
      <c r="J17" s="249"/>
      <c r="K17" s="250">
        <f t="shared" si="4"/>
        <v>6570.7999999999984</v>
      </c>
      <c r="L17" s="251">
        <f t="shared" si="17"/>
        <v>5.4553240740740715E-2</v>
      </c>
      <c r="M17" s="252">
        <f t="shared" si="5"/>
        <v>1178.3499999999995</v>
      </c>
      <c r="N17" s="253">
        <f t="shared" si="6"/>
        <v>1.3827539850201653</v>
      </c>
      <c r="O17" s="254">
        <f>ROUND(IF($O$6="MAX=20",AA17,IF($O$6="MAX=30",AB17,IF($O$6="MAX=40",AC17,""))),1)</f>
        <v>5.7</v>
      </c>
      <c r="P17" s="313"/>
      <c r="Q17" s="212"/>
      <c r="R17" s="268"/>
      <c r="S17" s="280"/>
      <c r="T17" s="288">
        <f t="shared" si="7"/>
        <v>8.4</v>
      </c>
      <c r="U17" s="289">
        <f t="shared" si="8"/>
        <v>8.58</v>
      </c>
      <c r="V17" s="290">
        <f t="shared" si="9"/>
        <v>8.68</v>
      </c>
      <c r="W17" s="291">
        <f t="shared" si="10"/>
        <v>960.8</v>
      </c>
      <c r="X17" s="292">
        <f t="shared" si="11"/>
        <v>591.5</v>
      </c>
      <c r="Y17" s="293">
        <f t="shared" si="12"/>
        <v>519.79999999999995</v>
      </c>
      <c r="Z17" s="280"/>
      <c r="AA17" s="294">
        <f t="shared" si="14"/>
        <v>5.7142857142857144</v>
      </c>
      <c r="AB17" s="287">
        <f t="shared" si="15"/>
        <v>8.5714285714285712</v>
      </c>
      <c r="AC17" s="295">
        <f t="shared" si="16"/>
        <v>16.923076923076923</v>
      </c>
    </row>
    <row r="18" spans="1:29" ht="14.25">
      <c r="A18" s="184"/>
      <c r="B18" s="213">
        <v>12</v>
      </c>
      <c r="C18" s="214">
        <v>162</v>
      </c>
      <c r="D18" s="215" t="str">
        <f t="shared" si="0"/>
        <v>ﾌｪﾆｯｸｽ</v>
      </c>
      <c r="E18" s="216">
        <f t="shared" si="1"/>
        <v>6.96</v>
      </c>
      <c r="F18" s="216">
        <v>12</v>
      </c>
      <c r="G18" s="217">
        <v>0.57863425925925926</v>
      </c>
      <c r="H18" s="214">
        <f t="shared" si="2"/>
        <v>10694.000000000002</v>
      </c>
      <c r="I18" s="218">
        <f t="shared" si="3"/>
        <v>1024.3</v>
      </c>
      <c r="J18" s="216"/>
      <c r="K18" s="219">
        <f t="shared" si="4"/>
        <v>6596.800000000002</v>
      </c>
      <c r="L18" s="217">
        <f t="shared" ref="L18:L22" si="18">IFERROR((K18-$K$7)/86400,"")</f>
        <v>5.4854166666666683E-2</v>
      </c>
      <c r="M18" s="220">
        <f t="shared" ref="M18:M22" si="19">IFERROR((K18-$K$7)/$N$3,"")</f>
        <v>1184.8500000000004</v>
      </c>
      <c r="N18" s="221">
        <f t="shared" ref="N18:N22" si="20">IFERROR($N$3/(H18/3600),"")</f>
        <v>1.3465494669908356</v>
      </c>
      <c r="O18" s="222">
        <f t="shared" ref="O18" si="21">ROUND(IF($O$6="MAX=20",AA18,IF($O$6="MAX=30",AB18,IF($O$6="MAX=40",AC18,""))),1)</f>
        <v>4.3</v>
      </c>
      <c r="P18" s="257"/>
      <c r="Q18" s="224"/>
      <c r="R18" s="268"/>
      <c r="S18" s="280"/>
      <c r="T18" s="288">
        <f t="shared" si="7"/>
        <v>6.96</v>
      </c>
      <c r="U18" s="289">
        <f t="shared" si="8"/>
        <v>6.84</v>
      </c>
      <c r="V18" s="290">
        <f t="shared" si="9"/>
        <v>6.95</v>
      </c>
      <c r="W18" s="291">
        <f t="shared" si="10"/>
        <v>1024.3</v>
      </c>
      <c r="X18" s="292">
        <f t="shared" si="11"/>
        <v>640.4</v>
      </c>
      <c r="Y18" s="293">
        <f t="shared" si="12"/>
        <v>569.4</v>
      </c>
      <c r="Z18" s="280"/>
      <c r="AA18" s="294">
        <f t="shared" si="14"/>
        <v>4.2857142857142856</v>
      </c>
      <c r="AB18" s="287">
        <f t="shared" si="15"/>
        <v>6.4285714285714288</v>
      </c>
      <c r="AC18" s="295">
        <f t="shared" si="16"/>
        <v>14.615384615384615</v>
      </c>
    </row>
    <row r="19" spans="1:29" ht="14.25">
      <c r="A19" s="184"/>
      <c r="B19" s="213"/>
      <c r="C19" s="214"/>
      <c r="D19" s="215" t="str">
        <f t="shared" ref="D19:D23" si="22">IF(ISBLANK(C19),"",VLOOKUP(C19,各艇データ,2,FALSE))</f>
        <v/>
      </c>
      <c r="E19" s="216" t="str">
        <f t="shared" ref="E19:E23" si="23">IF($I$6="Ⅰ",T19,IF($I$6="Ⅱ",U19,IF($I$6="Ⅲ",V19,"")))</f>
        <v/>
      </c>
      <c r="F19" s="216"/>
      <c r="G19" s="217"/>
      <c r="H19" s="214" t="str">
        <f t="shared" ref="H19:H23" si="24">IFERROR(IF(G19-$Q$2&lt;=0,"",(G19-$Q$2)*86400),"")</f>
        <v/>
      </c>
      <c r="I19" s="218" t="str">
        <f t="shared" ref="I19:I23" si="25">IF($I$6="Ⅰ",W19,IF($I$6="Ⅱ",X19,IF($I$6="Ⅲ",Y19,"")))</f>
        <v/>
      </c>
      <c r="J19" s="216"/>
      <c r="K19" s="219" t="str">
        <f t="shared" ref="K19:K23" si="26">IFERROR(H19*(1+0.01*J19)-I19*$N$3,"")</f>
        <v/>
      </c>
      <c r="L19" s="217" t="str">
        <f t="shared" si="18"/>
        <v/>
      </c>
      <c r="M19" s="220" t="str">
        <f t="shared" si="19"/>
        <v/>
      </c>
      <c r="N19" s="221" t="str">
        <f t="shared" si="20"/>
        <v/>
      </c>
      <c r="O19" s="222"/>
      <c r="P19" s="223"/>
      <c r="Q19" s="224"/>
      <c r="R19" s="268"/>
      <c r="S19" s="280"/>
      <c r="T19" s="288" t="str">
        <f t="shared" si="7"/>
        <v/>
      </c>
      <c r="U19" s="289" t="str">
        <f t="shared" si="8"/>
        <v/>
      </c>
      <c r="V19" s="290" t="str">
        <f t="shared" si="9"/>
        <v/>
      </c>
      <c r="W19" s="291" t="str">
        <f t="shared" si="10"/>
        <v/>
      </c>
      <c r="X19" s="292" t="str">
        <f t="shared" si="11"/>
        <v/>
      </c>
      <c r="Y19" s="293" t="str">
        <f t="shared" si="12"/>
        <v/>
      </c>
      <c r="Z19" s="280"/>
      <c r="AA19" s="294" t="str">
        <f t="shared" si="14"/>
        <v/>
      </c>
      <c r="AB19" s="287" t="str">
        <f t="shared" si="15"/>
        <v/>
      </c>
      <c r="AC19" s="295" t="str">
        <f t="shared" si="16"/>
        <v/>
      </c>
    </row>
    <row r="20" spans="1:29" ht="14.25">
      <c r="A20" s="184"/>
      <c r="B20" s="213"/>
      <c r="C20" s="214">
        <v>2759</v>
      </c>
      <c r="D20" s="215" t="str">
        <f t="shared" si="22"/>
        <v>イクソラⅢ</v>
      </c>
      <c r="E20" s="216">
        <f t="shared" si="23"/>
        <v>6.75</v>
      </c>
      <c r="F20" s="216"/>
      <c r="G20" s="217" t="s">
        <v>375</v>
      </c>
      <c r="H20" s="214"/>
      <c r="I20" s="218"/>
      <c r="J20" s="216"/>
      <c r="K20" s="219"/>
      <c r="L20" s="217"/>
      <c r="M20" s="220"/>
      <c r="N20" s="221"/>
      <c r="O20" s="222">
        <v>1</v>
      </c>
      <c r="P20" s="257"/>
      <c r="Q20" s="224"/>
      <c r="R20" s="268"/>
      <c r="S20" s="280"/>
      <c r="T20" s="288">
        <f t="shared" si="7"/>
        <v>6.75</v>
      </c>
      <c r="U20" s="289">
        <f t="shared" si="8"/>
        <v>6.67</v>
      </c>
      <c r="V20" s="290">
        <f t="shared" si="9"/>
        <v>6.68</v>
      </c>
      <c r="W20" s="291">
        <f t="shared" si="10"/>
        <v>1034.8</v>
      </c>
      <c r="X20" s="292">
        <f t="shared" si="11"/>
        <v>646</v>
      </c>
      <c r="Y20" s="293">
        <f t="shared" si="12"/>
        <v>578.79999999999995</v>
      </c>
      <c r="Z20" s="280"/>
      <c r="AA20" s="294" t="str">
        <f t="shared" si="14"/>
        <v/>
      </c>
      <c r="AB20" s="287" t="str">
        <f t="shared" si="15"/>
        <v/>
      </c>
      <c r="AC20" s="295" t="str">
        <f t="shared" si="16"/>
        <v/>
      </c>
    </row>
    <row r="21" spans="1:29" ht="14.25">
      <c r="A21" s="184"/>
      <c r="B21" s="225"/>
      <c r="C21" s="226">
        <v>5755</v>
      </c>
      <c r="D21" s="215" t="str">
        <f t="shared" si="22"/>
        <v>ランカ</v>
      </c>
      <c r="E21" s="228">
        <f t="shared" si="23"/>
        <v>8.25</v>
      </c>
      <c r="F21" s="228"/>
      <c r="G21" s="229" t="s">
        <v>359</v>
      </c>
      <c r="H21" s="226"/>
      <c r="I21" s="241"/>
      <c r="J21" s="228"/>
      <c r="K21" s="243"/>
      <c r="L21" s="229"/>
      <c r="M21" s="244"/>
      <c r="N21" s="245"/>
      <c r="O21" s="246">
        <v>1</v>
      </c>
      <c r="P21" s="305"/>
      <c r="Q21" s="239"/>
      <c r="R21" s="268"/>
      <c r="S21" s="280"/>
      <c r="T21" s="288">
        <f t="shared" si="7"/>
        <v>8.25</v>
      </c>
      <c r="U21" s="289">
        <f t="shared" si="8"/>
        <v>8.2100000000000009</v>
      </c>
      <c r="V21" s="290">
        <f t="shared" si="9"/>
        <v>8.1300000000000008</v>
      </c>
      <c r="W21" s="291">
        <f t="shared" si="10"/>
        <v>966.8</v>
      </c>
      <c r="X21" s="292">
        <f t="shared" si="11"/>
        <v>600.5</v>
      </c>
      <c r="Y21" s="293">
        <f t="shared" si="12"/>
        <v>534.1</v>
      </c>
      <c r="Z21" s="280"/>
      <c r="AA21" s="294" t="str">
        <f t="shared" si="14"/>
        <v/>
      </c>
      <c r="AB21" s="287" t="str">
        <f t="shared" si="15"/>
        <v/>
      </c>
      <c r="AC21" s="295" t="str">
        <f t="shared" si="16"/>
        <v/>
      </c>
    </row>
    <row r="22" spans="1:29" ht="14.25">
      <c r="A22" s="184"/>
      <c r="B22" s="255"/>
      <c r="C22" s="247"/>
      <c r="D22" s="203" t="str">
        <f t="shared" si="22"/>
        <v/>
      </c>
      <c r="E22" s="204" t="str">
        <f t="shared" si="23"/>
        <v/>
      </c>
      <c r="F22" s="204"/>
      <c r="G22" s="251"/>
      <c r="H22" s="247" t="str">
        <f t="shared" si="24"/>
        <v/>
      </c>
      <c r="I22" s="248" t="str">
        <f t="shared" si="25"/>
        <v/>
      </c>
      <c r="J22" s="249"/>
      <c r="K22" s="250" t="str">
        <f t="shared" si="26"/>
        <v/>
      </c>
      <c r="L22" s="251" t="str">
        <f t="shared" si="18"/>
        <v/>
      </c>
      <c r="M22" s="252" t="str">
        <f t="shared" si="19"/>
        <v/>
      </c>
      <c r="N22" s="253" t="str">
        <f t="shared" si="20"/>
        <v/>
      </c>
      <c r="O22" s="210"/>
      <c r="P22" s="261"/>
      <c r="Q22" s="256"/>
      <c r="R22" s="268"/>
      <c r="S22" s="280"/>
      <c r="T22" s="288" t="str">
        <f t="shared" si="7"/>
        <v/>
      </c>
      <c r="U22" s="289" t="str">
        <f t="shared" si="8"/>
        <v/>
      </c>
      <c r="V22" s="290" t="str">
        <f t="shared" si="9"/>
        <v/>
      </c>
      <c r="W22" s="291" t="str">
        <f t="shared" si="10"/>
        <v/>
      </c>
      <c r="X22" s="292" t="str">
        <f t="shared" si="11"/>
        <v/>
      </c>
      <c r="Y22" s="293" t="str">
        <f t="shared" si="12"/>
        <v/>
      </c>
      <c r="Z22" s="280"/>
      <c r="AA22" s="294" t="str">
        <f t="shared" si="14"/>
        <v/>
      </c>
      <c r="AB22" s="287" t="str">
        <f t="shared" si="15"/>
        <v/>
      </c>
      <c r="AC22" s="295" t="str">
        <f t="shared" si="16"/>
        <v/>
      </c>
    </row>
    <row r="23" spans="1:29" ht="14.25">
      <c r="A23" s="184"/>
      <c r="B23" s="213"/>
      <c r="C23" s="214"/>
      <c r="D23" s="215" t="str">
        <f t="shared" si="22"/>
        <v/>
      </c>
      <c r="E23" s="216" t="str">
        <f t="shared" si="23"/>
        <v/>
      </c>
      <c r="F23" s="216"/>
      <c r="G23" s="217"/>
      <c r="H23" s="214" t="str">
        <f t="shared" si="24"/>
        <v/>
      </c>
      <c r="I23" s="218" t="str">
        <f t="shared" si="25"/>
        <v/>
      </c>
      <c r="J23" s="304"/>
      <c r="K23" s="219" t="str">
        <f t="shared" si="26"/>
        <v/>
      </c>
      <c r="L23" s="217" t="str">
        <f>IFERROR((K23-$K$7)/86400,"")</f>
        <v/>
      </c>
      <c r="M23" s="220" t="str">
        <f>IFERROR((K23-$K$7)/$N$3,"")</f>
        <v/>
      </c>
      <c r="N23" s="221" t="str">
        <f>IFERROR($N$3/(H23/3600),"")</f>
        <v/>
      </c>
      <c r="O23" s="254"/>
      <c r="P23" s="257"/>
      <c r="Q23" s="224"/>
      <c r="R23" s="268"/>
      <c r="S23" s="280"/>
      <c r="T23" s="288" t="str">
        <f t="shared" si="7"/>
        <v/>
      </c>
      <c r="U23" s="289" t="str">
        <f t="shared" si="8"/>
        <v/>
      </c>
      <c r="V23" s="290" t="str">
        <f t="shared" si="9"/>
        <v/>
      </c>
      <c r="W23" s="291" t="str">
        <f t="shared" si="10"/>
        <v/>
      </c>
      <c r="X23" s="292" t="str">
        <f t="shared" si="11"/>
        <v/>
      </c>
      <c r="Y23" s="293" t="str">
        <f t="shared" si="12"/>
        <v/>
      </c>
      <c r="Z23" s="280"/>
      <c r="AA23" s="294" t="str">
        <f t="shared" si="14"/>
        <v/>
      </c>
      <c r="AB23" s="287" t="str">
        <f t="shared" si="15"/>
        <v/>
      </c>
      <c r="AC23" s="295" t="str">
        <f t="shared" si="16"/>
        <v/>
      </c>
    </row>
    <row r="24" spans="1:29" ht="14.25">
      <c r="A24" s="184"/>
      <c r="B24" s="213"/>
      <c r="C24" s="214"/>
      <c r="D24" s="215"/>
      <c r="E24" s="216"/>
      <c r="F24" s="216"/>
      <c r="G24" s="217"/>
      <c r="H24" s="214"/>
      <c r="I24" s="218"/>
      <c r="J24" s="216"/>
      <c r="K24" s="219"/>
      <c r="L24" s="217"/>
      <c r="M24" s="220"/>
      <c r="N24" s="221"/>
      <c r="O24" s="222"/>
      <c r="P24" s="258"/>
      <c r="Q24" s="224"/>
      <c r="R24" s="268"/>
      <c r="S24" s="280"/>
      <c r="T24" s="288" t="str">
        <f t="shared" si="7"/>
        <v/>
      </c>
      <c r="U24" s="289" t="str">
        <f t="shared" si="8"/>
        <v/>
      </c>
      <c r="V24" s="290" t="str">
        <f t="shared" si="9"/>
        <v/>
      </c>
      <c r="W24" s="291" t="str">
        <f t="shared" si="10"/>
        <v/>
      </c>
      <c r="X24" s="292" t="str">
        <f t="shared" si="11"/>
        <v/>
      </c>
      <c r="Y24" s="293" t="str">
        <f t="shared" si="12"/>
        <v/>
      </c>
      <c r="Z24" s="280"/>
      <c r="AA24" s="294" t="str">
        <f t="shared" si="14"/>
        <v/>
      </c>
      <c r="AB24" s="287" t="str">
        <f t="shared" si="15"/>
        <v/>
      </c>
      <c r="AC24" s="295" t="str">
        <f t="shared" si="16"/>
        <v/>
      </c>
    </row>
    <row r="25" spans="1:29" ht="14.25">
      <c r="A25" s="184"/>
      <c r="B25" s="213"/>
      <c r="C25" s="214"/>
      <c r="D25" s="215" t="str">
        <f t="shared" ref="D25:D31" si="27">IF(ISBLANK(C25),"",VLOOKUP(C25,各艇データ,2,FALSE))</f>
        <v/>
      </c>
      <c r="E25" s="216"/>
      <c r="F25" s="216"/>
      <c r="G25" s="217"/>
      <c r="H25" s="214"/>
      <c r="I25" s="218"/>
      <c r="J25" s="216"/>
      <c r="K25" s="219"/>
      <c r="L25" s="217"/>
      <c r="M25" s="220"/>
      <c r="N25" s="221"/>
      <c r="O25" s="222"/>
      <c r="P25" s="258"/>
      <c r="Q25" s="224"/>
      <c r="R25" s="268"/>
      <c r="S25" s="280"/>
      <c r="T25" s="288" t="str">
        <f t="shared" si="7"/>
        <v/>
      </c>
      <c r="U25" s="289" t="str">
        <f t="shared" si="8"/>
        <v/>
      </c>
      <c r="V25" s="290" t="str">
        <f t="shared" si="9"/>
        <v/>
      </c>
      <c r="W25" s="291" t="str">
        <f t="shared" si="10"/>
        <v/>
      </c>
      <c r="X25" s="292" t="str">
        <f t="shared" si="11"/>
        <v/>
      </c>
      <c r="Y25" s="293" t="str">
        <f t="shared" si="12"/>
        <v/>
      </c>
      <c r="Z25" s="280"/>
      <c r="AA25" s="294" t="str">
        <f t="shared" si="14"/>
        <v/>
      </c>
      <c r="AB25" s="287" t="str">
        <f t="shared" si="15"/>
        <v/>
      </c>
      <c r="AC25" s="295" t="str">
        <f t="shared" si="16"/>
        <v/>
      </c>
    </row>
    <row r="26" spans="1:29" ht="14.25">
      <c r="A26" s="184"/>
      <c r="B26" s="225"/>
      <c r="C26" s="226"/>
      <c r="D26" s="227" t="str">
        <f t="shared" si="27"/>
        <v/>
      </c>
      <c r="E26" s="228"/>
      <c r="F26" s="228"/>
      <c r="G26" s="229"/>
      <c r="H26" s="226" t="str">
        <f>IFERROR(IF(G26-$Q$2&lt;=0,"",(G26-$Q$2)*86400),"")</f>
        <v/>
      </c>
      <c r="I26" s="241" t="str">
        <f>IF($I$6="Ⅰ",W26,IF($I$6="Ⅱ",X26,IF($I$6="Ⅲ",Y26,"")))</f>
        <v/>
      </c>
      <c r="J26" s="228"/>
      <c r="K26" s="243" t="str">
        <f>IFERROR(H26*(1+0.01*J26)-I26*$N$3,"")</f>
        <v/>
      </c>
      <c r="L26" s="229" t="str">
        <f>IFERROR((K26-$K$7)/86400,"")</f>
        <v/>
      </c>
      <c r="M26" s="244" t="str">
        <f>IFERROR((K26-$K$7)/$N$3,"")</f>
        <v/>
      </c>
      <c r="N26" s="245" t="str">
        <f>IFERROR($N$3/(H26/3600),"")</f>
        <v/>
      </c>
      <c r="O26" s="246" t="str">
        <f>IF($O$6="MAX=20",AA26,IF($O$6="MAX=30",AB26,IF($O$6="MAX=40",AC26,"")))</f>
        <v/>
      </c>
      <c r="P26" s="259"/>
      <c r="Q26" s="239"/>
      <c r="R26" s="268"/>
      <c r="S26" s="280"/>
      <c r="T26" s="288" t="str">
        <f t="shared" si="7"/>
        <v/>
      </c>
      <c r="U26" s="289" t="str">
        <f t="shared" si="8"/>
        <v/>
      </c>
      <c r="V26" s="290" t="str">
        <f t="shared" si="9"/>
        <v/>
      </c>
      <c r="W26" s="291" t="str">
        <f t="shared" si="10"/>
        <v/>
      </c>
      <c r="X26" s="292" t="str">
        <f t="shared" si="11"/>
        <v/>
      </c>
      <c r="Y26" s="293" t="str">
        <f t="shared" si="12"/>
        <v/>
      </c>
      <c r="Z26" s="280"/>
      <c r="AA26" s="294" t="str">
        <f t="shared" si="14"/>
        <v/>
      </c>
      <c r="AB26" s="287" t="str">
        <f t="shared" si="15"/>
        <v/>
      </c>
      <c r="AC26" s="295" t="str">
        <f t="shared" si="16"/>
        <v/>
      </c>
    </row>
    <row r="27" spans="1:29" ht="14.25">
      <c r="A27" s="184"/>
      <c r="B27" s="255"/>
      <c r="C27" s="247"/>
      <c r="D27" s="260" t="str">
        <f t="shared" si="27"/>
        <v/>
      </c>
      <c r="E27" s="249"/>
      <c r="F27" s="249"/>
      <c r="G27" s="251"/>
      <c r="H27" s="202" t="str">
        <f>IFERROR(IF(G27-$Q$2&lt;=0,"",(G27-$Q$2)*86400),"")</f>
        <v/>
      </c>
      <c r="I27" s="206"/>
      <c r="J27" s="204"/>
      <c r="K27" s="207" t="str">
        <f>IFERROR(H27*(1+0.01*J27)-I27*$N$3,"")</f>
        <v/>
      </c>
      <c r="L27" s="205" t="str">
        <f>IFERROR((K27-$K$7)/86400,"")</f>
        <v/>
      </c>
      <c r="M27" s="208" t="str">
        <f>IFERROR((K27-$K$7)/$N$3,"")</f>
        <v/>
      </c>
      <c r="N27" s="209" t="str">
        <f>IFERROR($N$3/(H27/3600),"")</f>
        <v/>
      </c>
      <c r="O27" s="210"/>
      <c r="P27" s="261"/>
      <c r="Q27" s="256"/>
      <c r="R27" s="268"/>
      <c r="S27" s="280"/>
      <c r="T27" s="288" t="str">
        <f t="shared" si="7"/>
        <v/>
      </c>
      <c r="U27" s="289" t="str">
        <f t="shared" si="8"/>
        <v/>
      </c>
      <c r="V27" s="290" t="str">
        <f t="shared" si="9"/>
        <v/>
      </c>
      <c r="W27" s="291" t="str">
        <f t="shared" si="10"/>
        <v/>
      </c>
      <c r="X27" s="292" t="str">
        <f t="shared" si="11"/>
        <v/>
      </c>
      <c r="Y27" s="293" t="str">
        <f t="shared" si="12"/>
        <v/>
      </c>
      <c r="Z27" s="280"/>
      <c r="AA27" s="294" t="str">
        <f t="shared" si="14"/>
        <v/>
      </c>
      <c r="AB27" s="287" t="str">
        <f t="shared" si="15"/>
        <v/>
      </c>
      <c r="AC27" s="295" t="str">
        <f t="shared" si="16"/>
        <v/>
      </c>
    </row>
    <row r="28" spans="1:29" ht="14.25" customHeight="1">
      <c r="A28" s="184"/>
      <c r="B28" s="213"/>
      <c r="C28" s="214"/>
      <c r="D28" s="215" t="str">
        <f t="shared" si="27"/>
        <v/>
      </c>
      <c r="E28" s="216"/>
      <c r="F28" s="216"/>
      <c r="G28" s="217"/>
      <c r="H28" s="214"/>
      <c r="I28" s="218"/>
      <c r="J28" s="216"/>
      <c r="K28" s="219"/>
      <c r="L28" s="217"/>
      <c r="M28" s="220"/>
      <c r="N28" s="221"/>
      <c r="O28" s="222"/>
      <c r="P28" s="262"/>
      <c r="Q28" s="224"/>
      <c r="R28" s="268"/>
      <c r="S28" s="280"/>
      <c r="T28" s="288" t="str">
        <f t="shared" si="7"/>
        <v/>
      </c>
      <c r="U28" s="289" t="str">
        <f t="shared" si="8"/>
        <v/>
      </c>
      <c r="V28" s="290" t="str">
        <f t="shared" si="9"/>
        <v/>
      </c>
      <c r="W28" s="291" t="str">
        <f t="shared" si="10"/>
        <v/>
      </c>
      <c r="X28" s="292" t="str">
        <f t="shared" si="11"/>
        <v/>
      </c>
      <c r="Y28" s="293" t="str">
        <f t="shared" si="12"/>
        <v/>
      </c>
      <c r="Z28" s="280"/>
      <c r="AA28" s="294" t="str">
        <f t="shared" si="14"/>
        <v/>
      </c>
      <c r="AB28" s="287" t="str">
        <f t="shared" si="15"/>
        <v/>
      </c>
      <c r="AC28" s="295" t="str">
        <f t="shared" si="16"/>
        <v/>
      </c>
    </row>
    <row r="29" spans="1:29" ht="14.25">
      <c r="A29" s="184"/>
      <c r="B29" s="213"/>
      <c r="C29" s="214"/>
      <c r="D29" s="215" t="str">
        <f t="shared" si="27"/>
        <v/>
      </c>
      <c r="E29" s="216"/>
      <c r="F29" s="216"/>
      <c r="G29" s="217"/>
      <c r="H29" s="214"/>
      <c r="I29" s="218"/>
      <c r="J29" s="216"/>
      <c r="K29" s="219"/>
      <c r="L29" s="217"/>
      <c r="M29" s="220"/>
      <c r="N29" s="221"/>
      <c r="O29" s="222"/>
      <c r="P29" s="258"/>
      <c r="Q29" s="224"/>
      <c r="R29" s="268"/>
      <c r="S29" s="280"/>
      <c r="T29" s="288" t="str">
        <f t="shared" si="7"/>
        <v/>
      </c>
      <c r="U29" s="289" t="str">
        <f t="shared" si="8"/>
        <v/>
      </c>
      <c r="V29" s="290" t="str">
        <f t="shared" si="9"/>
        <v/>
      </c>
      <c r="W29" s="291" t="str">
        <f t="shared" si="10"/>
        <v/>
      </c>
      <c r="X29" s="292" t="str">
        <f t="shared" si="11"/>
        <v/>
      </c>
      <c r="Y29" s="293" t="str">
        <f t="shared" si="12"/>
        <v/>
      </c>
      <c r="Z29" s="280"/>
      <c r="AA29" s="294" t="str">
        <f t="shared" si="14"/>
        <v/>
      </c>
      <c r="AB29" s="287" t="str">
        <f t="shared" si="15"/>
        <v/>
      </c>
      <c r="AC29" s="295" t="str">
        <f t="shared" si="16"/>
        <v/>
      </c>
    </row>
    <row r="30" spans="1:29" ht="14.25" customHeight="1">
      <c r="A30" s="184"/>
      <c r="B30" s="213"/>
      <c r="C30" s="214"/>
      <c r="D30" s="215" t="str">
        <f t="shared" si="27"/>
        <v/>
      </c>
      <c r="E30" s="216"/>
      <c r="F30" s="216"/>
      <c r="G30" s="217"/>
      <c r="H30" s="214"/>
      <c r="I30" s="218"/>
      <c r="J30" s="216"/>
      <c r="K30" s="219"/>
      <c r="L30" s="217"/>
      <c r="M30" s="220"/>
      <c r="N30" s="221"/>
      <c r="O30" s="222"/>
      <c r="P30" s="258"/>
      <c r="Q30" s="224"/>
      <c r="R30" s="268"/>
      <c r="S30" s="280"/>
      <c r="T30" s="288" t="str">
        <f t="shared" si="7"/>
        <v/>
      </c>
      <c r="U30" s="289" t="str">
        <f t="shared" si="8"/>
        <v/>
      </c>
      <c r="V30" s="290" t="str">
        <f t="shared" si="9"/>
        <v/>
      </c>
      <c r="W30" s="291" t="str">
        <f t="shared" si="10"/>
        <v/>
      </c>
      <c r="X30" s="292" t="str">
        <f t="shared" si="11"/>
        <v/>
      </c>
      <c r="Y30" s="293" t="str">
        <f t="shared" si="12"/>
        <v/>
      </c>
      <c r="Z30" s="280"/>
      <c r="AA30" s="294" t="str">
        <f t="shared" si="14"/>
        <v/>
      </c>
      <c r="AB30" s="287" t="str">
        <f t="shared" si="15"/>
        <v/>
      </c>
      <c r="AC30" s="295" t="str">
        <f t="shared" si="16"/>
        <v/>
      </c>
    </row>
    <row r="31" spans="1:29" ht="15" thickBot="1">
      <c r="A31" s="184"/>
      <c r="B31" s="213"/>
      <c r="C31" s="214"/>
      <c r="D31" s="227" t="str">
        <f t="shared" si="27"/>
        <v/>
      </c>
      <c r="E31" s="228"/>
      <c r="F31" s="216"/>
      <c r="G31" s="217"/>
      <c r="H31" s="226" t="str">
        <f>IFERROR(IF(G31-$Q$2&lt;=0,"",(G31-$Q$2)*86400),"")</f>
        <v/>
      </c>
      <c r="I31" s="241" t="str">
        <f>IF($I$6="Ⅰ",W31,IF($I$6="Ⅱ",X31,IF($I$6="Ⅲ",Y31,"")))</f>
        <v/>
      </c>
      <c r="J31" s="228"/>
      <c r="K31" s="243" t="str">
        <f>IFERROR(H31*(1+0.01*J31)-I31*$N$3,"")</f>
        <v/>
      </c>
      <c r="L31" s="229" t="str">
        <f>IFERROR((K31-$K$7)/86400,"")</f>
        <v/>
      </c>
      <c r="M31" s="244" t="str">
        <f>IFERROR((K31-$K$7)/$N$3,"")</f>
        <v/>
      </c>
      <c r="N31" s="245" t="str">
        <f>IFERROR($N$3/(H31/3600),"")</f>
        <v/>
      </c>
      <c r="O31" s="246" t="str">
        <f>IF($O$6="MAX=20",AA31,IF($O$6="MAX=30",AB31,IF($O$6="MAX=40",AC31,"")))</f>
        <v/>
      </c>
      <c r="P31" s="259"/>
      <c r="Q31" s="239"/>
      <c r="R31" s="268"/>
      <c r="S31" s="280"/>
      <c r="T31" s="296" t="str">
        <f t="shared" si="7"/>
        <v/>
      </c>
      <c r="U31" s="297" t="str">
        <f t="shared" si="8"/>
        <v/>
      </c>
      <c r="V31" s="298" t="str">
        <f t="shared" si="9"/>
        <v/>
      </c>
      <c r="W31" s="299" t="str">
        <f t="shared" si="10"/>
        <v/>
      </c>
      <c r="X31" s="300" t="str">
        <f t="shared" si="11"/>
        <v/>
      </c>
      <c r="Y31" s="301" t="str">
        <f t="shared" si="12"/>
        <v/>
      </c>
      <c r="Z31" s="280"/>
      <c r="AA31" s="310" t="str">
        <f t="shared" si="14"/>
        <v/>
      </c>
      <c r="AB31" s="311" t="str">
        <f t="shared" si="15"/>
        <v/>
      </c>
      <c r="AC31" s="312" t="str">
        <f t="shared" si="16"/>
        <v/>
      </c>
    </row>
    <row r="32" spans="1:29" ht="15" customHeight="1">
      <c r="A32" s="184"/>
      <c r="B32" s="475" t="s">
        <v>275</v>
      </c>
      <c r="C32" s="476"/>
      <c r="D32" s="477"/>
      <c r="E32" s="263" t="s">
        <v>284</v>
      </c>
      <c r="F32" s="509" t="s">
        <v>379</v>
      </c>
      <c r="G32" s="510"/>
      <c r="H32" s="500" t="s">
        <v>384</v>
      </c>
      <c r="I32" s="501"/>
      <c r="J32" s="501"/>
      <c r="K32" s="501"/>
      <c r="L32" s="501"/>
      <c r="M32" s="501"/>
      <c r="N32" s="501"/>
      <c r="O32" s="501"/>
      <c r="P32" s="501"/>
      <c r="Q32" s="502"/>
      <c r="R32" s="173"/>
      <c r="S32" s="275"/>
      <c r="T32" s="275"/>
      <c r="U32" s="275"/>
      <c r="V32" s="275"/>
      <c r="Y32" s="275"/>
      <c r="Z32" s="275"/>
    </row>
    <row r="33" spans="1:26" ht="15" customHeight="1">
      <c r="A33" s="184"/>
      <c r="B33" s="478"/>
      <c r="C33" s="479"/>
      <c r="D33" s="480"/>
      <c r="E33" s="264" t="s">
        <v>185</v>
      </c>
      <c r="F33" s="473" t="s">
        <v>377</v>
      </c>
      <c r="G33" s="474"/>
      <c r="H33" s="503"/>
      <c r="I33" s="504"/>
      <c r="J33" s="504"/>
      <c r="K33" s="504"/>
      <c r="L33" s="504"/>
      <c r="M33" s="504"/>
      <c r="N33" s="504"/>
      <c r="O33" s="504"/>
      <c r="P33" s="504"/>
      <c r="Q33" s="505"/>
      <c r="R33" s="173"/>
      <c r="S33" s="275"/>
      <c r="T33" s="275"/>
      <c r="U33" s="275"/>
      <c r="V33" s="275"/>
      <c r="Y33" s="275"/>
      <c r="Z33" s="275"/>
    </row>
    <row r="34" spans="1:26" ht="23.25" customHeight="1">
      <c r="A34" s="184"/>
      <c r="B34" s="481"/>
      <c r="C34" s="482"/>
      <c r="D34" s="483"/>
      <c r="E34" s="264" t="s">
        <v>186</v>
      </c>
      <c r="F34" s="473" t="s">
        <v>378</v>
      </c>
      <c r="G34" s="474"/>
      <c r="H34" s="503"/>
      <c r="I34" s="504"/>
      <c r="J34" s="504"/>
      <c r="K34" s="504"/>
      <c r="L34" s="504"/>
      <c r="M34" s="504"/>
      <c r="N34" s="504"/>
      <c r="O34" s="504"/>
      <c r="P34" s="504"/>
      <c r="Q34" s="505"/>
      <c r="R34" s="173"/>
      <c r="S34" s="275"/>
      <c r="T34" s="275"/>
      <c r="U34" s="275"/>
      <c r="V34" s="275"/>
      <c r="Y34" s="275"/>
      <c r="Z34" s="275"/>
    </row>
    <row r="35" spans="1:26" ht="22.5" customHeight="1">
      <c r="A35" s="184"/>
      <c r="B35" s="484" t="s">
        <v>271</v>
      </c>
      <c r="C35" s="485"/>
      <c r="D35" s="486"/>
      <c r="E35" s="493" t="s">
        <v>188</v>
      </c>
      <c r="F35" s="473" t="str">
        <f>参照ﾃﾞｰﾀ!AL7</f>
        <v>かまくら</v>
      </c>
      <c r="G35" s="474"/>
      <c r="H35" s="503"/>
      <c r="I35" s="504"/>
      <c r="J35" s="504"/>
      <c r="K35" s="504"/>
      <c r="L35" s="504"/>
      <c r="M35" s="504"/>
      <c r="N35" s="504"/>
      <c r="O35" s="504"/>
      <c r="P35" s="504"/>
      <c r="Q35" s="505"/>
      <c r="R35" s="173"/>
      <c r="S35" s="275"/>
      <c r="T35" s="275"/>
      <c r="U35" s="275"/>
      <c r="V35" s="275"/>
      <c r="Y35" s="275"/>
      <c r="Z35" s="275"/>
    </row>
    <row r="36" spans="1:26" ht="15" customHeight="1">
      <c r="A36" s="184"/>
      <c r="B36" s="487"/>
      <c r="C36" s="488"/>
      <c r="D36" s="489"/>
      <c r="E36" s="494"/>
      <c r="F36" s="473"/>
      <c r="G36" s="474"/>
      <c r="H36" s="503"/>
      <c r="I36" s="504"/>
      <c r="J36" s="504"/>
      <c r="K36" s="504"/>
      <c r="L36" s="504"/>
      <c r="M36" s="504"/>
      <c r="N36" s="504"/>
      <c r="O36" s="504"/>
      <c r="P36" s="504"/>
      <c r="Q36" s="505"/>
      <c r="R36" s="173"/>
      <c r="S36" s="275"/>
      <c r="T36" s="275"/>
      <c r="U36" s="275"/>
      <c r="V36" s="275"/>
      <c r="Y36" s="275"/>
      <c r="Z36" s="275"/>
    </row>
    <row r="37" spans="1:26" ht="15" customHeight="1">
      <c r="A37" s="184"/>
      <c r="B37" s="487"/>
      <c r="C37" s="488"/>
      <c r="D37" s="489"/>
      <c r="E37" s="263" t="s">
        <v>187</v>
      </c>
      <c r="F37" s="511">
        <v>43239</v>
      </c>
      <c r="G37" s="510"/>
      <c r="H37" s="503"/>
      <c r="I37" s="504"/>
      <c r="J37" s="504"/>
      <c r="K37" s="504"/>
      <c r="L37" s="504"/>
      <c r="M37" s="504"/>
      <c r="N37" s="504"/>
      <c r="O37" s="504"/>
      <c r="P37" s="504"/>
      <c r="Q37" s="505"/>
      <c r="R37" s="173"/>
      <c r="S37" s="275"/>
      <c r="T37" s="275"/>
      <c r="U37" s="275"/>
      <c r="V37" s="275"/>
      <c r="Y37" s="275"/>
      <c r="Z37" s="275"/>
    </row>
    <row r="38" spans="1:26" ht="15" customHeight="1">
      <c r="A38" s="184"/>
      <c r="B38" s="487"/>
      <c r="C38" s="488"/>
      <c r="D38" s="489"/>
      <c r="E38" s="264" t="s">
        <v>201</v>
      </c>
      <c r="F38" s="473" t="s">
        <v>47</v>
      </c>
      <c r="G38" s="474"/>
      <c r="H38" s="503"/>
      <c r="I38" s="504"/>
      <c r="J38" s="504"/>
      <c r="K38" s="504"/>
      <c r="L38" s="504"/>
      <c r="M38" s="504"/>
      <c r="N38" s="504"/>
      <c r="O38" s="504"/>
      <c r="P38" s="504"/>
      <c r="Q38" s="505"/>
      <c r="R38" s="173"/>
      <c r="S38" s="275"/>
      <c r="T38" s="275"/>
      <c r="U38" s="275"/>
      <c r="V38" s="275"/>
      <c r="Y38" s="275"/>
      <c r="Z38" s="275"/>
    </row>
    <row r="39" spans="1:26" ht="15" customHeight="1">
      <c r="A39" s="184"/>
      <c r="B39" s="487"/>
      <c r="C39" s="488"/>
      <c r="D39" s="489"/>
      <c r="E39" s="264" t="s">
        <v>188</v>
      </c>
      <c r="F39" s="473" t="str">
        <f>参照ﾃﾞｰﾀ!AL8</f>
        <v>波勝</v>
      </c>
      <c r="G39" s="474"/>
      <c r="H39" s="503"/>
      <c r="I39" s="504"/>
      <c r="J39" s="504"/>
      <c r="K39" s="504"/>
      <c r="L39" s="504"/>
      <c r="M39" s="504"/>
      <c r="N39" s="504"/>
      <c r="O39" s="504"/>
      <c r="P39" s="504"/>
      <c r="Q39" s="505"/>
      <c r="R39" s="173"/>
      <c r="S39" s="275"/>
      <c r="T39" s="275"/>
      <c r="U39" s="275"/>
      <c r="V39" s="275"/>
      <c r="Y39" s="275"/>
      <c r="Z39" s="275"/>
    </row>
    <row r="40" spans="1:26" ht="15">
      <c r="A40" s="184"/>
      <c r="B40" s="487"/>
      <c r="C40" s="488"/>
      <c r="D40" s="489"/>
      <c r="E40" s="264"/>
      <c r="F40" s="473"/>
      <c r="G40" s="474"/>
      <c r="H40" s="503"/>
      <c r="I40" s="504"/>
      <c r="J40" s="504"/>
      <c r="K40" s="504"/>
      <c r="L40" s="504"/>
      <c r="M40" s="504"/>
      <c r="N40" s="504"/>
      <c r="O40" s="504"/>
      <c r="P40" s="504"/>
      <c r="Q40" s="505"/>
      <c r="R40" s="173"/>
      <c r="S40" s="275"/>
      <c r="T40" s="275"/>
      <c r="U40" s="275"/>
      <c r="V40" s="275"/>
      <c r="Y40" s="275"/>
      <c r="Z40" s="275"/>
    </row>
    <row r="41" spans="1:26" ht="11.25" customHeight="1" thickBot="1">
      <c r="A41" s="184"/>
      <c r="B41" s="490"/>
      <c r="C41" s="491"/>
      <c r="D41" s="492"/>
      <c r="E41" s="265"/>
      <c r="F41" s="495"/>
      <c r="G41" s="496"/>
      <c r="H41" s="506"/>
      <c r="I41" s="507"/>
      <c r="J41" s="507"/>
      <c r="K41" s="507"/>
      <c r="L41" s="507"/>
      <c r="M41" s="507"/>
      <c r="N41" s="507"/>
      <c r="O41" s="507"/>
      <c r="P41" s="507"/>
      <c r="Q41" s="508"/>
      <c r="R41" s="173"/>
      <c r="S41" s="275"/>
      <c r="T41" s="275"/>
      <c r="U41" s="275"/>
      <c r="V41" s="275"/>
      <c r="W41" s="275"/>
      <c r="X41" s="275"/>
      <c r="Y41" s="275"/>
      <c r="Z41" s="275"/>
    </row>
    <row r="42" spans="1:26">
      <c r="A42" s="184"/>
      <c r="B42" s="184"/>
      <c r="C42" s="184"/>
      <c r="D42" s="184"/>
      <c r="E42" s="184"/>
      <c r="F42" s="184"/>
      <c r="G42" s="184"/>
      <c r="H42" s="184"/>
      <c r="I42" s="184"/>
      <c r="J42" s="184"/>
      <c r="K42" s="184"/>
      <c r="L42" s="184"/>
      <c r="M42" s="184"/>
      <c r="N42" s="184"/>
      <c r="O42" s="184"/>
      <c r="P42" s="184"/>
      <c r="Q42" s="184"/>
      <c r="R42" s="184"/>
    </row>
  </sheetData>
  <sheetProtection algorithmName="SHA-512" hashValue="777FNNmFnsMaL6wYjhcSnA0gj/TOldmHnZQyMYR68+KfG8R3apX02tyLxwrLws1AgYAkWihu87iGlfavqTPBKw==" saltValue="R+cYmwdZvzeYUpPTroynjQ==" spinCount="100000" sheet="1" objects="1" scenarios="1"/>
  <sortState ref="C7:K18">
    <sortCondition ref="K7:K18"/>
  </sortState>
  <mergeCells count="18">
    <mergeCell ref="F38:G38"/>
    <mergeCell ref="F39:G39"/>
    <mergeCell ref="D2:F2"/>
    <mergeCell ref="E3:I3"/>
    <mergeCell ref="J3:K3"/>
    <mergeCell ref="P5:Q5"/>
    <mergeCell ref="B32:D34"/>
    <mergeCell ref="F32:G32"/>
    <mergeCell ref="H32:Q41"/>
    <mergeCell ref="F33:G33"/>
    <mergeCell ref="F34:G34"/>
    <mergeCell ref="B35:D41"/>
    <mergeCell ref="F40:G40"/>
    <mergeCell ref="F41:G41"/>
    <mergeCell ref="E35:E36"/>
    <mergeCell ref="F35:G35"/>
    <mergeCell ref="F36:G36"/>
    <mergeCell ref="F37:G37"/>
  </mergeCells>
  <phoneticPr fontId="42"/>
  <dataValidations count="8">
    <dataValidation type="list" allowBlank="1" showInputMessage="1" showErrorMessage="1" sqref="P2 F37:G37">
      <formula1>開催日</formula1>
    </dataValidation>
    <dataValidation type="list" errorStyle="warning" allowBlank="1" showInputMessage="1" showErrorMessage="1" sqref="Q2">
      <formula1>時刻</formula1>
    </dataValidation>
    <dataValidation type="list" allowBlank="1" showInputMessage="1" showErrorMessage="1" sqref="J3:K3">
      <formula1>暫定</formula1>
    </dataValidation>
    <dataValidation type="list" allowBlank="1" showInputMessage="1" showErrorMessage="1" sqref="G2">
      <formula1>月</formula1>
    </dataValidation>
    <dataValidation type="list" allowBlank="1" showInputMessage="1" showErrorMessage="1" sqref="N2 F38:G38">
      <formula1>コース</formula1>
    </dataValidation>
    <dataValidation type="list" showInputMessage="1" showErrorMessage="1" sqref="E3">
      <formula1>レース名</formula1>
    </dataValidation>
    <dataValidation type="list" allowBlank="1" showInputMessage="1" showErrorMessage="1" sqref="I6">
      <formula1>ＴＡ</formula1>
    </dataValidation>
    <dataValidation type="list" allowBlank="1" showInputMessage="1" showErrorMessage="1" sqref="D3">
      <formula1>レース番号</formula1>
    </dataValidation>
  </dataValidations>
  <pageMargins left="0.31496062992125984" right="0" top="0.35433070866141736" bottom="0.19685039370078741" header="0" footer="0"/>
  <pageSetup paperSize="9" orientation="landscape" horizontalDpi="4294967293"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7"/>
  <sheetViews>
    <sheetView zoomScale="85" zoomScaleNormal="85" workbookViewId="0">
      <selection activeCell="I22" sqref="I22"/>
    </sheetView>
  </sheetViews>
  <sheetFormatPr defaultRowHeight="13.5"/>
  <cols>
    <col min="1" max="1" width="1.75" style="274" customWidth="1"/>
    <col min="2" max="2" width="5" style="274" customWidth="1"/>
    <col min="3" max="3" width="7" style="274" customWidth="1"/>
    <col min="4" max="4" width="18" style="274" customWidth="1"/>
    <col min="5" max="5" width="8" style="274" customWidth="1"/>
    <col min="6" max="6" width="5" style="274" customWidth="1"/>
    <col min="7" max="7" width="10.875" style="274" customWidth="1"/>
    <col min="8" max="8" width="8.375" style="274" customWidth="1"/>
    <col min="9" max="9" width="8.625" style="274" customWidth="1"/>
    <col min="10" max="10" width="5" style="274" customWidth="1"/>
    <col min="11" max="11" width="8.5" style="274" customWidth="1"/>
    <col min="12" max="12" width="10.875" style="274" customWidth="1"/>
    <col min="13" max="13" width="9.5" style="274" customWidth="1"/>
    <col min="14" max="14" width="7.875" style="274" customWidth="1"/>
    <col min="15" max="15" width="8" style="274" customWidth="1"/>
    <col min="16" max="16" width="12" style="274" bestFit="1" customWidth="1"/>
    <col min="17" max="17" width="11.625" style="274" customWidth="1"/>
    <col min="18" max="18" width="1.375" style="274" customWidth="1"/>
    <col min="19" max="21" width="7.625" style="274" customWidth="1"/>
    <col min="22" max="22" width="7.75" style="274" customWidth="1"/>
    <col min="23" max="24" width="7.625" style="274" customWidth="1"/>
    <col min="25" max="25" width="4.5" style="274" customWidth="1"/>
    <col min="26" max="28" width="8" style="274" customWidth="1"/>
    <col min="29" max="16384" width="9" style="274"/>
  </cols>
  <sheetData>
    <row r="1" spans="1:28" ht="9.75" customHeight="1" thickBot="1">
      <c r="A1" s="184"/>
      <c r="B1" s="184"/>
      <c r="C1" s="184"/>
      <c r="D1" s="184"/>
      <c r="E1" s="184"/>
      <c r="F1" s="184"/>
      <c r="G1" s="184"/>
      <c r="H1" s="184"/>
      <c r="I1" s="184"/>
      <c r="J1" s="184"/>
      <c r="K1" s="184"/>
      <c r="L1" s="184"/>
      <c r="M1" s="184"/>
      <c r="N1" s="184"/>
      <c r="O1" s="184"/>
      <c r="P1" s="184"/>
      <c r="Q1" s="184"/>
      <c r="R1" s="184"/>
    </row>
    <row r="2" spans="1:28" ht="21">
      <c r="A2" s="184"/>
      <c r="B2" s="173"/>
      <c r="C2" s="174"/>
      <c r="D2" s="471" t="str">
        <f>参照ﾃﾞｰﾀ!P4</f>
        <v>2019年</v>
      </c>
      <c r="E2" s="471"/>
      <c r="F2" s="471"/>
      <c r="G2" s="175" t="s">
        <v>193</v>
      </c>
      <c r="H2" s="176"/>
      <c r="I2" s="177"/>
      <c r="J2" s="173"/>
      <c r="K2" s="178"/>
      <c r="L2" s="173"/>
      <c r="M2" s="179" t="s">
        <v>52</v>
      </c>
      <c r="N2" s="180" t="s">
        <v>47</v>
      </c>
      <c r="O2" s="181" t="s">
        <v>54</v>
      </c>
      <c r="P2" s="336">
        <v>43239</v>
      </c>
      <c r="Q2" s="337">
        <v>0</v>
      </c>
      <c r="R2" s="173"/>
      <c r="S2" s="276" t="s">
        <v>2</v>
      </c>
      <c r="T2" s="275"/>
      <c r="U2" s="275"/>
      <c r="V2" s="275"/>
      <c r="W2" s="275"/>
      <c r="X2" s="275"/>
      <c r="Y2" s="275"/>
    </row>
    <row r="3" spans="1:28" ht="21.75" customHeight="1" thickBot="1">
      <c r="A3" s="184"/>
      <c r="B3" s="173"/>
      <c r="C3" s="184"/>
      <c r="D3" s="185" t="s">
        <v>248</v>
      </c>
      <c r="E3" s="472" t="s">
        <v>64</v>
      </c>
      <c r="F3" s="472"/>
      <c r="G3" s="472"/>
      <c r="H3" s="472"/>
      <c r="I3" s="472"/>
      <c r="J3" s="497" t="s">
        <v>86</v>
      </c>
      <c r="K3" s="497"/>
      <c r="L3" s="173"/>
      <c r="M3" s="186" t="s">
        <v>75</v>
      </c>
      <c r="N3" s="187">
        <v>47.4</v>
      </c>
      <c r="O3" s="188" t="s">
        <v>0</v>
      </c>
      <c r="P3" s="189">
        <v>10</v>
      </c>
      <c r="Q3" s="190" t="s">
        <v>1</v>
      </c>
      <c r="R3" s="173"/>
      <c r="S3" s="275" t="s">
        <v>239</v>
      </c>
      <c r="T3" s="275"/>
      <c r="U3" s="275"/>
      <c r="V3" s="276" t="s">
        <v>2</v>
      </c>
      <c r="W3" s="275"/>
      <c r="X3" s="275"/>
      <c r="Y3" s="275"/>
      <c r="Z3" s="277" t="s">
        <v>76</v>
      </c>
    </row>
    <row r="4" spans="1:28" ht="7.5" customHeight="1" thickBot="1">
      <c r="A4" s="184"/>
      <c r="B4" s="173"/>
      <c r="C4" s="173"/>
      <c r="D4" s="173"/>
      <c r="E4" s="173"/>
      <c r="F4" s="173"/>
      <c r="G4" s="173"/>
      <c r="H4" s="173"/>
      <c r="I4" s="173"/>
      <c r="J4" s="173"/>
      <c r="K4" s="173"/>
      <c r="L4" s="173"/>
      <c r="M4" s="173"/>
      <c r="N4" s="173"/>
      <c r="O4" s="173"/>
      <c r="P4" s="173"/>
      <c r="Q4" s="173"/>
      <c r="R4" s="173"/>
      <c r="S4" s="275"/>
      <c r="T4" s="275"/>
      <c r="U4" s="275"/>
      <c r="V4" s="278"/>
      <c r="W4" s="275"/>
      <c r="X4" s="275"/>
      <c r="Y4" s="275"/>
    </row>
    <row r="5" spans="1:28" ht="14.25">
      <c r="A5" s="184"/>
      <c r="B5" s="191" t="s">
        <v>3</v>
      </c>
      <c r="C5" s="192" t="s">
        <v>4</v>
      </c>
      <c r="D5" s="192" t="s">
        <v>5</v>
      </c>
      <c r="E5" s="192" t="s">
        <v>6</v>
      </c>
      <c r="F5" s="192" t="s">
        <v>7</v>
      </c>
      <c r="G5" s="192" t="s">
        <v>8</v>
      </c>
      <c r="H5" s="192" t="s">
        <v>9</v>
      </c>
      <c r="I5" s="192" t="s">
        <v>10</v>
      </c>
      <c r="J5" s="192" t="s">
        <v>11</v>
      </c>
      <c r="K5" s="192" t="s">
        <v>12</v>
      </c>
      <c r="L5" s="193" t="s">
        <v>276</v>
      </c>
      <c r="M5" s="193" t="s">
        <v>277</v>
      </c>
      <c r="N5" s="192" t="s">
        <v>71</v>
      </c>
      <c r="O5" s="192" t="s">
        <v>13</v>
      </c>
      <c r="P5" s="498" t="s">
        <v>70</v>
      </c>
      <c r="Q5" s="499"/>
      <c r="R5" s="268"/>
      <c r="S5" s="281" t="s">
        <v>10</v>
      </c>
      <c r="T5" s="279" t="s">
        <v>10</v>
      </c>
      <c r="U5" s="282" t="s">
        <v>10</v>
      </c>
      <c r="V5" s="281" t="s">
        <v>10</v>
      </c>
      <c r="W5" s="279" t="s">
        <v>10</v>
      </c>
      <c r="X5" s="282" t="s">
        <v>10</v>
      </c>
      <c r="Y5" s="280"/>
      <c r="Z5" s="281" t="s">
        <v>13</v>
      </c>
      <c r="AA5" s="279" t="s">
        <v>13</v>
      </c>
      <c r="AB5" s="282" t="s">
        <v>13</v>
      </c>
    </row>
    <row r="6" spans="1:28" ht="14.25">
      <c r="A6" s="184"/>
      <c r="B6" s="194"/>
      <c r="C6" s="195" t="s">
        <v>14</v>
      </c>
      <c r="D6" s="196"/>
      <c r="E6" s="197" t="s">
        <v>15</v>
      </c>
      <c r="F6" s="197"/>
      <c r="G6" s="195" t="s">
        <v>16</v>
      </c>
      <c r="H6" s="197" t="s">
        <v>17</v>
      </c>
      <c r="I6" s="195" t="s">
        <v>236</v>
      </c>
      <c r="J6" s="197" t="s">
        <v>18</v>
      </c>
      <c r="K6" s="197" t="s">
        <v>17</v>
      </c>
      <c r="L6" s="195" t="s">
        <v>16</v>
      </c>
      <c r="M6" s="197" t="s">
        <v>46</v>
      </c>
      <c r="N6" s="197" t="s">
        <v>19</v>
      </c>
      <c r="O6" s="198" t="str">
        <f>"MAX=40"</f>
        <v>MAX=40</v>
      </c>
      <c r="P6" s="314"/>
      <c r="Q6" s="200"/>
      <c r="R6" s="269"/>
      <c r="S6" s="285" t="s">
        <v>20</v>
      </c>
      <c r="T6" s="283" t="s">
        <v>22</v>
      </c>
      <c r="U6" s="286" t="s">
        <v>21</v>
      </c>
      <c r="V6" s="285" t="s">
        <v>20</v>
      </c>
      <c r="W6" s="283" t="s">
        <v>22</v>
      </c>
      <c r="X6" s="286" t="s">
        <v>21</v>
      </c>
      <c r="Y6" s="284"/>
      <c r="Z6" s="285" t="s">
        <v>78</v>
      </c>
      <c r="AA6" s="283" t="s">
        <v>79</v>
      </c>
      <c r="AB6" s="286" t="s">
        <v>80</v>
      </c>
    </row>
    <row r="7" spans="1:28" ht="14.25">
      <c r="A7" s="184"/>
      <c r="B7" s="201">
        <v>1</v>
      </c>
      <c r="C7" s="202">
        <v>5752</v>
      </c>
      <c r="D7" s="203" t="str">
        <f t="shared" ref="D7:D16" si="0">IF(ISBLANK(C7),"",VLOOKUP(C7,各艇データ,2,FALSE))</f>
        <v>アルファ</v>
      </c>
      <c r="E7" s="204">
        <f t="shared" ref="E7:E16" si="1">IF($I$6="Ⅰ",S7,IF($I$6="Ⅱ",T7,IF($I$6="Ⅲ",U7,"")))</f>
        <v>10.18</v>
      </c>
      <c r="F7" s="204">
        <v>1</v>
      </c>
      <c r="G7" s="205">
        <v>0.41364583333333332</v>
      </c>
      <c r="H7" s="202">
        <f t="shared" ref="H7:H16" si="2">IFERROR(IF(G7-$Q$2&lt;=0,"",(G7-$Q$2)*86400),"")</f>
        <v>35739</v>
      </c>
      <c r="I7" s="206">
        <f t="shared" ref="I7:I16" si="3">IF($I$6="Ⅰ",V7,IF($I$6="Ⅱ",W7,IF($I$6="Ⅲ",X7,"")))</f>
        <v>557</v>
      </c>
      <c r="J7" s="204"/>
      <c r="K7" s="207">
        <f t="shared" ref="K7:K16" si="4">IFERROR(H7*(1+0.01*J7)-I7*$N$3,"")</f>
        <v>9337.2000000000007</v>
      </c>
      <c r="L7" s="205">
        <f t="shared" ref="L7:L15" si="5">IFERROR((K7-$K$7)/86400,"")</f>
        <v>0</v>
      </c>
      <c r="M7" s="208">
        <f t="shared" ref="M7:M15" si="6">IFERROR((K7-$K$7)/$N$3,"")</f>
        <v>0</v>
      </c>
      <c r="N7" s="209">
        <f t="shared" ref="N7:N15" si="7">IFERROR($N$3/(H7/3600),"")</f>
        <v>4.7746159657516998</v>
      </c>
      <c r="O7" s="210">
        <f t="shared" ref="O7:O16" si="8">ROUND(IF($O$6="MAX=20",Z7,IF($O$6="MAX=30",AA7,IF($O$6="MAX=40",AB7,""))),1)</f>
        <v>40</v>
      </c>
      <c r="P7" s="462" t="s">
        <v>385</v>
      </c>
      <c r="Q7" s="459">
        <v>0.20486111111111113</v>
      </c>
      <c r="R7" s="268"/>
      <c r="S7" s="288">
        <f t="shared" ref="S7:S26" si="9">IF(ISBLANK(C7),"",VLOOKUP(C7,各艇データ,3,FALSE))</f>
        <v>10.43</v>
      </c>
      <c r="T7" s="289">
        <f t="shared" ref="T7:T26" si="10">IF(ISBLANK(C7),"",VLOOKUP(C7,各艇データ,4,FALSE))</f>
        <v>10.18</v>
      </c>
      <c r="U7" s="290">
        <f t="shared" ref="U7:U26" si="11">IF(ISBLANK(C7),"",VLOOKUP(C7,各艇データ,5,FALSE))</f>
        <v>9.92</v>
      </c>
      <c r="V7" s="291">
        <f t="shared" ref="V7:V26" si="12">IF(ISBLANK(C7),"",VLOOKUP(C7,各艇データ,6,FALSE))</f>
        <v>892.7</v>
      </c>
      <c r="W7" s="292">
        <f t="shared" ref="W7:W26" si="13">IF(ISBLANK(C7),"",VLOOKUP(C7,各艇データ,7,FALSE))</f>
        <v>557</v>
      </c>
      <c r="X7" s="293">
        <f t="shared" ref="X7:X26" si="14">IF(ISBLANK(C7),"",VLOOKUP(C7,各艇データ,8,FALSE))</f>
        <v>492.1</v>
      </c>
      <c r="Y7" s="280"/>
      <c r="Z7" s="294">
        <f t="shared" ref="Z7:Z26" si="15">IF(ISBLANK(B7),"",IFERROR(20*($P$3+1-$B7)/$P$3,"20.0"))</f>
        <v>20</v>
      </c>
      <c r="AA7" s="287">
        <f t="shared" ref="AA7:AA26" si="16">IF(ISBLANK(B7),"",IFERROR(30*($P$3+1-$B7)/$P$3,"30.0"))</f>
        <v>30</v>
      </c>
      <c r="AB7" s="295">
        <f t="shared" ref="AB7:AB26" si="17">IF(ISBLANK(B7),"",IFERROR(30*($P$3-$B7)/($P$3-1)+10,"20.0"))</f>
        <v>40</v>
      </c>
    </row>
    <row r="8" spans="1:28" ht="14.25">
      <c r="A8" s="184"/>
      <c r="B8" s="213">
        <v>2</v>
      </c>
      <c r="C8" s="214">
        <v>150</v>
      </c>
      <c r="D8" s="215" t="str">
        <f t="shared" si="0"/>
        <v>SHARK X</v>
      </c>
      <c r="E8" s="216">
        <f t="shared" si="1"/>
        <v>8.68</v>
      </c>
      <c r="F8" s="216">
        <v>2</v>
      </c>
      <c r="G8" s="217">
        <v>0.43435185185185188</v>
      </c>
      <c r="H8" s="214">
        <f t="shared" si="2"/>
        <v>37528</v>
      </c>
      <c r="I8" s="218">
        <f t="shared" si="3"/>
        <v>588.9</v>
      </c>
      <c r="J8" s="216"/>
      <c r="K8" s="219">
        <f t="shared" si="4"/>
        <v>9614.1400000000031</v>
      </c>
      <c r="L8" s="217">
        <f t="shared" si="5"/>
        <v>3.2053240740741009E-3</v>
      </c>
      <c r="M8" s="220">
        <f t="shared" si="6"/>
        <v>5.8426160337553235</v>
      </c>
      <c r="N8" s="221">
        <f t="shared" si="7"/>
        <v>4.5470049030057549</v>
      </c>
      <c r="O8" s="222">
        <f t="shared" si="8"/>
        <v>36.700000000000003</v>
      </c>
      <c r="P8" s="315"/>
      <c r="Q8" s="460">
        <v>0.21388888888888891</v>
      </c>
      <c r="R8" s="268"/>
      <c r="S8" s="288">
        <f t="shared" si="9"/>
        <v>9.06</v>
      </c>
      <c r="T8" s="289">
        <f t="shared" si="10"/>
        <v>8.68</v>
      </c>
      <c r="U8" s="290">
        <f t="shared" si="11"/>
        <v>8.5</v>
      </c>
      <c r="V8" s="291">
        <f t="shared" si="12"/>
        <v>936.4</v>
      </c>
      <c r="W8" s="292">
        <f t="shared" si="13"/>
        <v>588.9</v>
      </c>
      <c r="X8" s="293">
        <f t="shared" si="14"/>
        <v>524.4</v>
      </c>
      <c r="Y8" s="280"/>
      <c r="Z8" s="294">
        <f t="shared" si="15"/>
        <v>18</v>
      </c>
      <c r="AA8" s="287">
        <f t="shared" si="16"/>
        <v>27</v>
      </c>
      <c r="AB8" s="295">
        <f t="shared" si="17"/>
        <v>36.666666666666671</v>
      </c>
    </row>
    <row r="9" spans="1:28" ht="14.25">
      <c r="A9" s="184"/>
      <c r="B9" s="213">
        <v>3</v>
      </c>
      <c r="C9" s="214">
        <v>321</v>
      </c>
      <c r="D9" s="215" t="str">
        <f t="shared" si="0"/>
        <v>かまくら</v>
      </c>
      <c r="E9" s="216">
        <f t="shared" si="1"/>
        <v>9.51</v>
      </c>
      <c r="F9" s="216">
        <v>3</v>
      </c>
      <c r="G9" s="217">
        <v>0.43679398148148146</v>
      </c>
      <c r="H9" s="214">
        <f t="shared" si="2"/>
        <v>37739</v>
      </c>
      <c r="I9" s="218">
        <f t="shared" si="3"/>
        <v>570.5</v>
      </c>
      <c r="J9" s="216"/>
      <c r="K9" s="219">
        <f t="shared" si="4"/>
        <v>10697.3</v>
      </c>
      <c r="L9" s="217">
        <f t="shared" si="5"/>
        <v>1.574189814814813E-2</v>
      </c>
      <c r="M9" s="220">
        <f t="shared" si="6"/>
        <v>28.694092827004191</v>
      </c>
      <c r="N9" s="221">
        <f t="shared" si="7"/>
        <v>4.5215824478656028</v>
      </c>
      <c r="O9" s="222">
        <f t="shared" si="8"/>
        <v>33.299999999999997</v>
      </c>
      <c r="P9" s="315"/>
      <c r="Q9" s="460">
        <v>0.20208333333333331</v>
      </c>
      <c r="R9" s="268"/>
      <c r="S9" s="288">
        <f t="shared" si="9"/>
        <v>10.15</v>
      </c>
      <c r="T9" s="289">
        <f t="shared" si="10"/>
        <v>9.51</v>
      </c>
      <c r="U9" s="290">
        <f t="shared" si="11"/>
        <v>9.44</v>
      </c>
      <c r="V9" s="291">
        <f t="shared" si="12"/>
        <v>900.8</v>
      </c>
      <c r="W9" s="292">
        <f t="shared" si="13"/>
        <v>570.5</v>
      </c>
      <c r="X9" s="293">
        <f t="shared" si="14"/>
        <v>502.2</v>
      </c>
      <c r="Y9" s="280"/>
      <c r="Z9" s="294">
        <f t="shared" si="15"/>
        <v>16</v>
      </c>
      <c r="AA9" s="287">
        <f t="shared" si="16"/>
        <v>24</v>
      </c>
      <c r="AB9" s="295">
        <f t="shared" si="17"/>
        <v>33.333333333333329</v>
      </c>
    </row>
    <row r="10" spans="1:28" ht="14.25">
      <c r="A10" s="184"/>
      <c r="B10" s="213">
        <v>4</v>
      </c>
      <c r="C10" s="214">
        <v>312</v>
      </c>
      <c r="D10" s="215" t="str">
        <f t="shared" si="0"/>
        <v>はやとり</v>
      </c>
      <c r="E10" s="216">
        <f t="shared" si="1"/>
        <v>8.09</v>
      </c>
      <c r="F10" s="216">
        <v>7</v>
      </c>
      <c r="G10" s="217">
        <v>0.45681712962962967</v>
      </c>
      <c r="H10" s="214">
        <f t="shared" si="2"/>
        <v>39469</v>
      </c>
      <c r="I10" s="218">
        <f t="shared" si="3"/>
        <v>603.70000000000005</v>
      </c>
      <c r="J10" s="216"/>
      <c r="K10" s="219">
        <f t="shared" si="4"/>
        <v>10853.619999999999</v>
      </c>
      <c r="L10" s="217">
        <f t="shared" si="5"/>
        <v>1.7551157407407387E-2</v>
      </c>
      <c r="M10" s="220">
        <f t="shared" si="6"/>
        <v>31.991983122362832</v>
      </c>
      <c r="N10" s="221">
        <f t="shared" si="7"/>
        <v>4.3233930426410598</v>
      </c>
      <c r="O10" s="222">
        <f t="shared" si="8"/>
        <v>30</v>
      </c>
      <c r="P10" s="315"/>
      <c r="Q10" s="460">
        <v>0.22083333333333333</v>
      </c>
      <c r="R10" s="268"/>
      <c r="S10" s="288">
        <f t="shared" si="9"/>
        <v>8.11</v>
      </c>
      <c r="T10" s="289">
        <f t="shared" si="10"/>
        <v>8.09</v>
      </c>
      <c r="U10" s="290">
        <f t="shared" si="11"/>
        <v>8.07</v>
      </c>
      <c r="V10" s="291">
        <f t="shared" si="12"/>
        <v>972.4</v>
      </c>
      <c r="W10" s="292">
        <f t="shared" si="13"/>
        <v>603.70000000000005</v>
      </c>
      <c r="X10" s="293">
        <f t="shared" si="14"/>
        <v>535.70000000000005</v>
      </c>
      <c r="Y10" s="280"/>
      <c r="Z10" s="294">
        <f t="shared" si="15"/>
        <v>14</v>
      </c>
      <c r="AA10" s="287">
        <f t="shared" si="16"/>
        <v>21</v>
      </c>
      <c r="AB10" s="295">
        <f t="shared" si="17"/>
        <v>30</v>
      </c>
    </row>
    <row r="11" spans="1:28" ht="14.25">
      <c r="A11" s="184"/>
      <c r="B11" s="225">
        <v>5</v>
      </c>
      <c r="C11" s="226">
        <v>1733</v>
      </c>
      <c r="D11" s="227" t="str">
        <f t="shared" si="0"/>
        <v>ケロニア</v>
      </c>
      <c r="E11" s="228">
        <f t="shared" si="1"/>
        <v>9.57</v>
      </c>
      <c r="F11" s="228">
        <v>4</v>
      </c>
      <c r="G11" s="229">
        <v>0.44002314814814819</v>
      </c>
      <c r="H11" s="230">
        <f t="shared" si="2"/>
        <v>38018.000000000007</v>
      </c>
      <c r="I11" s="231">
        <f t="shared" si="3"/>
        <v>569.29999999999995</v>
      </c>
      <c r="J11" s="232"/>
      <c r="K11" s="233">
        <f t="shared" si="4"/>
        <v>11033.180000000011</v>
      </c>
      <c r="L11" s="234">
        <f t="shared" si="5"/>
        <v>1.9629398148148271E-2</v>
      </c>
      <c r="M11" s="235">
        <f t="shared" si="6"/>
        <v>35.780168776371532</v>
      </c>
      <c r="N11" s="236">
        <f t="shared" si="7"/>
        <v>4.4884002314693028</v>
      </c>
      <c r="O11" s="237">
        <f t="shared" si="8"/>
        <v>26.7</v>
      </c>
      <c r="P11" s="316"/>
      <c r="Q11" s="461">
        <v>0.21527777777777779</v>
      </c>
      <c r="R11" s="268"/>
      <c r="S11" s="288">
        <f t="shared" si="9"/>
        <v>9.67</v>
      </c>
      <c r="T11" s="289">
        <f t="shared" si="10"/>
        <v>9.57</v>
      </c>
      <c r="U11" s="290">
        <f t="shared" si="11"/>
        <v>9.4</v>
      </c>
      <c r="V11" s="291">
        <f t="shared" si="12"/>
        <v>915.7</v>
      </c>
      <c r="W11" s="292">
        <f t="shared" si="13"/>
        <v>569.29999999999995</v>
      </c>
      <c r="X11" s="293">
        <f t="shared" si="14"/>
        <v>503.2</v>
      </c>
      <c r="Y11" s="280"/>
      <c r="Z11" s="294">
        <f t="shared" si="15"/>
        <v>12</v>
      </c>
      <c r="AA11" s="287">
        <f t="shared" si="16"/>
        <v>18</v>
      </c>
      <c r="AB11" s="295">
        <f t="shared" si="17"/>
        <v>26.666666666666668</v>
      </c>
    </row>
    <row r="12" spans="1:28" ht="14.25">
      <c r="A12" s="184"/>
      <c r="B12" s="201">
        <v>6</v>
      </c>
      <c r="C12" s="202">
        <v>1611</v>
      </c>
      <c r="D12" s="203" t="str">
        <f t="shared" si="0"/>
        <v>ﾈﾌﾟﾁｭｰﾝXⅡ</v>
      </c>
      <c r="E12" s="204">
        <f t="shared" si="1"/>
        <v>8.15</v>
      </c>
      <c r="F12" s="204">
        <v>8</v>
      </c>
      <c r="G12" s="205">
        <v>0.45874999999999999</v>
      </c>
      <c r="H12" s="202">
        <f t="shared" si="2"/>
        <v>39636</v>
      </c>
      <c r="I12" s="206">
        <f t="shared" si="3"/>
        <v>602.20000000000005</v>
      </c>
      <c r="J12" s="204"/>
      <c r="K12" s="207">
        <f t="shared" si="4"/>
        <v>11091.719999999998</v>
      </c>
      <c r="L12" s="205">
        <f t="shared" si="5"/>
        <v>2.0306944444444409E-2</v>
      </c>
      <c r="M12" s="208">
        <f t="shared" si="6"/>
        <v>37.015189873417654</v>
      </c>
      <c r="N12" s="209">
        <f t="shared" si="7"/>
        <v>4.3051771117166213</v>
      </c>
      <c r="O12" s="210">
        <f t="shared" si="8"/>
        <v>23.3</v>
      </c>
      <c r="P12" s="223"/>
      <c r="Q12" s="459">
        <v>0.20694444444444446</v>
      </c>
      <c r="R12" s="268"/>
      <c r="S12" s="288">
        <f t="shared" si="9"/>
        <v>8.0299999999999994</v>
      </c>
      <c r="T12" s="289">
        <f t="shared" si="10"/>
        <v>8.15</v>
      </c>
      <c r="U12" s="290">
        <f t="shared" si="11"/>
        <v>7.98</v>
      </c>
      <c r="V12" s="291">
        <f t="shared" si="12"/>
        <v>975.7</v>
      </c>
      <c r="W12" s="292">
        <f t="shared" si="13"/>
        <v>602.20000000000005</v>
      </c>
      <c r="X12" s="293">
        <f t="shared" si="14"/>
        <v>538.1</v>
      </c>
      <c r="Y12" s="280"/>
      <c r="Z12" s="294">
        <f t="shared" si="15"/>
        <v>10</v>
      </c>
      <c r="AA12" s="287">
        <f t="shared" si="16"/>
        <v>15</v>
      </c>
      <c r="AB12" s="295">
        <f t="shared" si="17"/>
        <v>23.333333333333336</v>
      </c>
    </row>
    <row r="13" spans="1:28" ht="14.25">
      <c r="A13" s="184"/>
      <c r="B13" s="213">
        <v>7</v>
      </c>
      <c r="C13" s="214">
        <v>6732</v>
      </c>
      <c r="D13" s="215" t="str">
        <f t="shared" si="0"/>
        <v>アイデアル</v>
      </c>
      <c r="E13" s="216">
        <f t="shared" si="1"/>
        <v>9.1300000000000008</v>
      </c>
      <c r="F13" s="216">
        <v>6</v>
      </c>
      <c r="G13" s="217">
        <v>0.45266203703703706</v>
      </c>
      <c r="H13" s="214">
        <f t="shared" si="2"/>
        <v>39110</v>
      </c>
      <c r="I13" s="218">
        <f t="shared" si="3"/>
        <v>578.79999999999995</v>
      </c>
      <c r="J13" s="216"/>
      <c r="K13" s="219">
        <f t="shared" si="4"/>
        <v>11674.880000000005</v>
      </c>
      <c r="L13" s="217">
        <f t="shared" si="5"/>
        <v>2.7056481481481529E-2</v>
      </c>
      <c r="M13" s="220">
        <f t="shared" si="6"/>
        <v>49.318143459915696</v>
      </c>
      <c r="N13" s="221">
        <f t="shared" si="7"/>
        <v>4.363078496548197</v>
      </c>
      <c r="O13" s="222">
        <f t="shared" si="8"/>
        <v>20</v>
      </c>
      <c r="P13" s="315"/>
      <c r="Q13" s="460">
        <v>0.21180555555555555</v>
      </c>
      <c r="R13" s="268"/>
      <c r="S13" s="288">
        <f t="shared" si="9"/>
        <v>9.59</v>
      </c>
      <c r="T13" s="289">
        <f t="shared" si="10"/>
        <v>9.1300000000000008</v>
      </c>
      <c r="U13" s="290">
        <f t="shared" si="11"/>
        <v>8.76</v>
      </c>
      <c r="V13" s="291">
        <f t="shared" si="12"/>
        <v>918.4</v>
      </c>
      <c r="W13" s="292">
        <f t="shared" si="13"/>
        <v>578.79999999999995</v>
      </c>
      <c r="X13" s="293">
        <f t="shared" si="14"/>
        <v>518</v>
      </c>
      <c r="Y13" s="280"/>
      <c r="Z13" s="294">
        <f t="shared" si="15"/>
        <v>8</v>
      </c>
      <c r="AA13" s="287">
        <f t="shared" si="16"/>
        <v>12</v>
      </c>
      <c r="AB13" s="295">
        <f t="shared" si="17"/>
        <v>20</v>
      </c>
    </row>
    <row r="14" spans="1:28" ht="14.25">
      <c r="A14" s="184"/>
      <c r="B14" s="213">
        <v>8</v>
      </c>
      <c r="C14" s="214">
        <v>380</v>
      </c>
      <c r="D14" s="215" t="str">
        <f t="shared" si="0"/>
        <v>テティス</v>
      </c>
      <c r="E14" s="216">
        <f t="shared" si="1"/>
        <v>9.86</v>
      </c>
      <c r="F14" s="216">
        <v>5</v>
      </c>
      <c r="G14" s="217">
        <v>0.45201388888888888</v>
      </c>
      <c r="H14" s="214">
        <f>IFERROR(IF(G14-$Q$2&lt;=0,"",(G14-$Q$2)*86400),"")</f>
        <v>39054</v>
      </c>
      <c r="I14" s="218">
        <f t="shared" si="3"/>
        <v>563.29999999999995</v>
      </c>
      <c r="J14" s="216"/>
      <c r="K14" s="219">
        <f t="shared" si="4"/>
        <v>12353.580000000002</v>
      </c>
      <c r="L14" s="217">
        <f t="shared" si="5"/>
        <v>3.4911805555555564E-2</v>
      </c>
      <c r="M14" s="220">
        <f t="shared" si="6"/>
        <v>63.636708860759519</v>
      </c>
      <c r="N14" s="221">
        <f t="shared" si="7"/>
        <v>4.3693347672453529</v>
      </c>
      <c r="O14" s="222">
        <f t="shared" si="8"/>
        <v>16.7</v>
      </c>
      <c r="P14" s="315"/>
      <c r="Q14" s="460">
        <v>0.21736111111111112</v>
      </c>
      <c r="R14" s="268"/>
      <c r="S14" s="288">
        <f t="shared" si="9"/>
        <v>10.32</v>
      </c>
      <c r="T14" s="289">
        <f t="shared" si="10"/>
        <v>9.86</v>
      </c>
      <c r="U14" s="290">
        <f t="shared" si="11"/>
        <v>9.51</v>
      </c>
      <c r="V14" s="291">
        <f t="shared" si="12"/>
        <v>896</v>
      </c>
      <c r="W14" s="292">
        <f t="shared" si="13"/>
        <v>563.29999999999995</v>
      </c>
      <c r="X14" s="293">
        <f t="shared" si="14"/>
        <v>500.8</v>
      </c>
      <c r="Y14" s="280"/>
      <c r="Z14" s="294">
        <f t="shared" si="15"/>
        <v>6</v>
      </c>
      <c r="AA14" s="287">
        <f t="shared" si="16"/>
        <v>9</v>
      </c>
      <c r="AB14" s="295">
        <f t="shared" si="17"/>
        <v>16.666666666666668</v>
      </c>
    </row>
    <row r="15" spans="1:28" ht="14.25">
      <c r="A15" s="184"/>
      <c r="B15" s="213">
        <v>9</v>
      </c>
      <c r="C15" s="214">
        <v>346</v>
      </c>
      <c r="D15" s="215" t="str">
        <f t="shared" si="0"/>
        <v>飛車角</v>
      </c>
      <c r="E15" s="216">
        <f t="shared" si="1"/>
        <v>8.58</v>
      </c>
      <c r="F15" s="216">
        <v>9</v>
      </c>
      <c r="G15" s="217">
        <v>0.49662037037037038</v>
      </c>
      <c r="H15" s="214">
        <f t="shared" si="2"/>
        <v>42908</v>
      </c>
      <c r="I15" s="218">
        <f t="shared" si="3"/>
        <v>591.5</v>
      </c>
      <c r="J15" s="216"/>
      <c r="K15" s="219">
        <f t="shared" si="4"/>
        <v>14870.900000000001</v>
      </c>
      <c r="L15" s="217">
        <f t="shared" si="5"/>
        <v>6.4047453703703711E-2</v>
      </c>
      <c r="M15" s="220">
        <f t="shared" si="6"/>
        <v>116.74472573839664</v>
      </c>
      <c r="N15" s="221">
        <f t="shared" si="7"/>
        <v>3.9768807681551226</v>
      </c>
      <c r="O15" s="222">
        <f t="shared" si="8"/>
        <v>13.3</v>
      </c>
      <c r="P15" s="223"/>
      <c r="Q15" s="460">
        <v>0.28125</v>
      </c>
      <c r="R15" s="268"/>
      <c r="S15" s="288">
        <f t="shared" si="9"/>
        <v>8.4</v>
      </c>
      <c r="T15" s="289">
        <f t="shared" si="10"/>
        <v>8.58</v>
      </c>
      <c r="U15" s="290">
        <f t="shared" si="11"/>
        <v>8.68</v>
      </c>
      <c r="V15" s="291">
        <f t="shared" si="12"/>
        <v>960.8</v>
      </c>
      <c r="W15" s="292">
        <f t="shared" si="13"/>
        <v>591.5</v>
      </c>
      <c r="X15" s="293">
        <f t="shared" si="14"/>
        <v>519.79999999999995</v>
      </c>
      <c r="Y15" s="280"/>
      <c r="Z15" s="294">
        <f t="shared" si="15"/>
        <v>4</v>
      </c>
      <c r="AA15" s="287">
        <f t="shared" si="16"/>
        <v>6</v>
      </c>
      <c r="AB15" s="295">
        <f t="shared" si="17"/>
        <v>13.333333333333334</v>
      </c>
    </row>
    <row r="16" spans="1:28" ht="14.25">
      <c r="A16" s="184"/>
      <c r="B16" s="225">
        <v>10</v>
      </c>
      <c r="C16" s="226">
        <v>131</v>
      </c>
      <c r="D16" s="227" t="str">
        <f t="shared" si="0"/>
        <v>ふるたか</v>
      </c>
      <c r="E16" s="228">
        <f t="shared" si="1"/>
        <v>8.31</v>
      </c>
      <c r="F16" s="228">
        <v>10</v>
      </c>
      <c r="G16" s="229">
        <v>0.51862268518518517</v>
      </c>
      <c r="H16" s="226">
        <f t="shared" si="2"/>
        <v>44809</v>
      </c>
      <c r="I16" s="241">
        <f t="shared" si="3"/>
        <v>598.20000000000005</v>
      </c>
      <c r="J16" s="228"/>
      <c r="K16" s="243">
        <f t="shared" si="4"/>
        <v>16454.32</v>
      </c>
      <c r="L16" s="229">
        <f t="shared" ref="L16" si="18">IFERROR((K16-$K$7)/86400,"")</f>
        <v>8.2374074074074058E-2</v>
      </c>
      <c r="M16" s="244">
        <f t="shared" ref="M16" si="19">IFERROR((K16-$K$7)/$N$3,"")</f>
        <v>150.15021097046412</v>
      </c>
      <c r="N16" s="245">
        <f t="shared" ref="N16" si="20">IFERROR($N$3/(H16/3600),"")</f>
        <v>3.8081635385748398</v>
      </c>
      <c r="O16" s="246">
        <f t="shared" si="8"/>
        <v>10</v>
      </c>
      <c r="P16" s="238"/>
      <c r="Q16" s="461">
        <v>0.24305555555555555</v>
      </c>
      <c r="R16" s="268"/>
      <c r="S16" s="288">
        <f t="shared" si="9"/>
        <v>8.2899999999999991</v>
      </c>
      <c r="T16" s="289">
        <f t="shared" si="10"/>
        <v>8.31</v>
      </c>
      <c r="U16" s="290">
        <f t="shared" si="11"/>
        <v>8.0500000000000007</v>
      </c>
      <c r="V16" s="291">
        <f t="shared" si="12"/>
        <v>965.1</v>
      </c>
      <c r="W16" s="292">
        <f t="shared" si="13"/>
        <v>598.20000000000005</v>
      </c>
      <c r="X16" s="293">
        <f t="shared" si="14"/>
        <v>536.29999999999995</v>
      </c>
      <c r="Y16" s="280"/>
      <c r="Z16" s="294">
        <f t="shared" si="15"/>
        <v>2</v>
      </c>
      <c r="AA16" s="287">
        <f t="shared" si="16"/>
        <v>3</v>
      </c>
      <c r="AB16" s="295">
        <f t="shared" si="17"/>
        <v>10</v>
      </c>
    </row>
    <row r="17" spans="1:28" ht="14.25">
      <c r="A17" s="184"/>
      <c r="B17" s="201"/>
      <c r="C17" s="202"/>
      <c r="D17" s="203"/>
      <c r="E17" s="204"/>
      <c r="F17" s="204"/>
      <c r="G17" s="205"/>
      <c r="H17" s="247"/>
      <c r="I17" s="248"/>
      <c r="J17" s="249"/>
      <c r="K17" s="250"/>
      <c r="L17" s="251"/>
      <c r="M17" s="252"/>
      <c r="N17" s="253"/>
      <c r="O17" s="254"/>
      <c r="P17" s="317"/>
      <c r="Q17" s="212"/>
      <c r="R17" s="268"/>
      <c r="S17" s="288" t="str">
        <f t="shared" si="9"/>
        <v/>
      </c>
      <c r="T17" s="289" t="str">
        <f t="shared" si="10"/>
        <v/>
      </c>
      <c r="U17" s="290" t="str">
        <f t="shared" si="11"/>
        <v/>
      </c>
      <c r="V17" s="291" t="str">
        <f t="shared" si="12"/>
        <v/>
      </c>
      <c r="W17" s="292" t="str">
        <f t="shared" si="13"/>
        <v/>
      </c>
      <c r="X17" s="293" t="str">
        <f t="shared" si="14"/>
        <v/>
      </c>
      <c r="Y17" s="280"/>
      <c r="Z17" s="294" t="str">
        <f t="shared" si="15"/>
        <v/>
      </c>
      <c r="AA17" s="287" t="str">
        <f t="shared" si="16"/>
        <v/>
      </c>
      <c r="AB17" s="295" t="str">
        <f t="shared" si="17"/>
        <v/>
      </c>
    </row>
    <row r="18" spans="1:28" ht="14.25">
      <c r="A18" s="184"/>
      <c r="B18" s="213"/>
      <c r="C18" s="214">
        <v>1985</v>
      </c>
      <c r="D18" s="215" t="str">
        <f t="shared" ref="D18" si="21">IF(ISBLANK(C18),"",VLOOKUP(C18,各艇データ,2,FALSE))</f>
        <v>波勝</v>
      </c>
      <c r="E18" s="216"/>
      <c r="F18" s="216"/>
      <c r="G18" s="217"/>
      <c r="H18" s="214"/>
      <c r="I18" s="218"/>
      <c r="J18" s="216"/>
      <c r="K18" s="219"/>
      <c r="L18" s="217"/>
      <c r="M18" s="220"/>
      <c r="N18" s="221"/>
      <c r="O18" s="222">
        <v>20</v>
      </c>
      <c r="P18" s="257" t="s">
        <v>386</v>
      </c>
      <c r="Q18" s="224"/>
      <c r="R18" s="268"/>
      <c r="S18" s="288">
        <f t="shared" si="9"/>
        <v>7.23</v>
      </c>
      <c r="T18" s="289">
        <f t="shared" si="10"/>
        <v>6.85</v>
      </c>
      <c r="U18" s="290">
        <f t="shared" si="11"/>
        <v>6.8</v>
      </c>
      <c r="V18" s="291">
        <f t="shared" si="12"/>
        <v>1010.9</v>
      </c>
      <c r="W18" s="292">
        <f t="shared" si="13"/>
        <v>639.9</v>
      </c>
      <c r="X18" s="293">
        <f t="shared" si="14"/>
        <v>574.5</v>
      </c>
      <c r="Y18" s="280"/>
      <c r="Z18" s="294" t="str">
        <f t="shared" si="15"/>
        <v/>
      </c>
      <c r="AA18" s="287" t="str">
        <f t="shared" si="16"/>
        <v/>
      </c>
      <c r="AB18" s="295" t="str">
        <f t="shared" si="17"/>
        <v/>
      </c>
    </row>
    <row r="19" spans="1:28" ht="14.25">
      <c r="A19" s="184"/>
      <c r="B19" s="213"/>
      <c r="C19" s="214"/>
      <c r="D19" s="215"/>
      <c r="E19" s="216"/>
      <c r="F19" s="216"/>
      <c r="G19" s="217"/>
      <c r="H19" s="214"/>
      <c r="I19" s="218"/>
      <c r="J19" s="216"/>
      <c r="K19" s="219"/>
      <c r="L19" s="217"/>
      <c r="M19" s="220"/>
      <c r="N19" s="221"/>
      <c r="O19" s="222"/>
      <c r="P19" s="223"/>
      <c r="Q19" s="224"/>
      <c r="R19" s="268"/>
      <c r="S19" s="288" t="str">
        <f t="shared" si="9"/>
        <v/>
      </c>
      <c r="T19" s="289" t="str">
        <f t="shared" si="10"/>
        <v/>
      </c>
      <c r="U19" s="290" t="str">
        <f t="shared" si="11"/>
        <v/>
      </c>
      <c r="V19" s="291" t="str">
        <f t="shared" si="12"/>
        <v/>
      </c>
      <c r="W19" s="292" t="str">
        <f t="shared" si="13"/>
        <v/>
      </c>
      <c r="X19" s="293" t="str">
        <f t="shared" si="14"/>
        <v/>
      </c>
      <c r="Y19" s="280"/>
      <c r="Z19" s="294" t="str">
        <f t="shared" si="15"/>
        <v/>
      </c>
      <c r="AA19" s="287" t="str">
        <f t="shared" si="16"/>
        <v/>
      </c>
      <c r="AB19" s="295" t="str">
        <f t="shared" si="17"/>
        <v/>
      </c>
    </row>
    <row r="20" spans="1:28" ht="14.25">
      <c r="A20" s="184"/>
      <c r="B20" s="213"/>
      <c r="C20" s="214"/>
      <c r="D20" s="215"/>
      <c r="E20" s="216"/>
      <c r="F20" s="216"/>
      <c r="G20" s="217"/>
      <c r="H20" s="214"/>
      <c r="I20" s="218"/>
      <c r="J20" s="216"/>
      <c r="K20" s="219"/>
      <c r="L20" s="217"/>
      <c r="M20" s="220"/>
      <c r="N20" s="221"/>
      <c r="O20" s="222"/>
      <c r="P20" s="318"/>
      <c r="Q20" s="224"/>
      <c r="R20" s="268"/>
      <c r="S20" s="288" t="str">
        <f t="shared" si="9"/>
        <v/>
      </c>
      <c r="T20" s="289" t="str">
        <f t="shared" si="10"/>
        <v/>
      </c>
      <c r="U20" s="290" t="str">
        <f t="shared" si="11"/>
        <v/>
      </c>
      <c r="V20" s="291" t="str">
        <f t="shared" si="12"/>
        <v/>
      </c>
      <c r="W20" s="292" t="str">
        <f t="shared" si="13"/>
        <v/>
      </c>
      <c r="X20" s="293" t="str">
        <f t="shared" si="14"/>
        <v/>
      </c>
      <c r="Y20" s="280"/>
      <c r="Z20" s="294" t="str">
        <f t="shared" si="15"/>
        <v/>
      </c>
      <c r="AA20" s="287" t="str">
        <f t="shared" si="16"/>
        <v/>
      </c>
      <c r="AB20" s="295" t="str">
        <f t="shared" si="17"/>
        <v/>
      </c>
    </row>
    <row r="21" spans="1:28" ht="14.25">
      <c r="A21" s="184"/>
      <c r="B21" s="225"/>
      <c r="C21" s="319"/>
      <c r="D21" s="227" t="str">
        <f t="shared" ref="D21" si="22">IF(ISBLANK(C21),"",VLOOKUP(C21,各艇データ,2,FALSE))</f>
        <v/>
      </c>
      <c r="E21" s="228" t="str">
        <f t="shared" ref="E21" si="23">IF($I$6="Ⅰ",S21,IF($I$6="Ⅱ",T21,IF($I$6="Ⅲ",U21,"")))</f>
        <v/>
      </c>
      <c r="F21" s="228"/>
      <c r="G21" s="229"/>
      <c r="H21" s="226" t="str">
        <f t="shared" ref="H21" si="24">IFERROR(IF(G21-$Q$2&lt;=0,"",(G21-$Q$2)*86400),"")</f>
        <v/>
      </c>
      <c r="I21" s="241" t="str">
        <f t="shared" ref="I21" si="25">IF($I$6="Ⅰ",V21,IF($I$6="Ⅱ",W21,IF($I$6="Ⅲ",X21,"")))</f>
        <v/>
      </c>
      <c r="J21" s="228"/>
      <c r="K21" s="243" t="str">
        <f t="shared" ref="K21" si="26">IFERROR(H21*(1+0.01*J21)-I21*$N$3,"")</f>
        <v/>
      </c>
      <c r="L21" s="229" t="str">
        <f>IFERROR((K21-$K$7)/86400,"")</f>
        <v/>
      </c>
      <c r="M21" s="244" t="str">
        <f>IFERROR((K21-$K$7)/$N$3,"")</f>
        <v/>
      </c>
      <c r="N21" s="245"/>
      <c r="O21" s="246"/>
      <c r="P21" s="305"/>
      <c r="Q21" s="239"/>
      <c r="R21" s="268"/>
      <c r="S21" s="288" t="str">
        <f t="shared" si="9"/>
        <v/>
      </c>
      <c r="T21" s="289" t="str">
        <f t="shared" si="10"/>
        <v/>
      </c>
      <c r="U21" s="290" t="str">
        <f t="shared" si="11"/>
        <v/>
      </c>
      <c r="V21" s="291" t="str">
        <f t="shared" si="12"/>
        <v/>
      </c>
      <c r="W21" s="292" t="str">
        <f t="shared" si="13"/>
        <v/>
      </c>
      <c r="X21" s="293" t="str">
        <f t="shared" si="14"/>
        <v/>
      </c>
      <c r="Y21" s="280"/>
      <c r="Z21" s="294" t="str">
        <f t="shared" si="15"/>
        <v/>
      </c>
      <c r="AA21" s="287" t="str">
        <f t="shared" si="16"/>
        <v/>
      </c>
      <c r="AB21" s="295" t="str">
        <f t="shared" si="17"/>
        <v/>
      </c>
    </row>
    <row r="22" spans="1:28" ht="14.25">
      <c r="A22" s="184"/>
      <c r="B22" s="255"/>
      <c r="C22" s="247"/>
      <c r="D22" s="260" t="str">
        <f t="shared" ref="D22:D26" si="27">IF(ISBLANK(C22),"",VLOOKUP(C22,各艇データ,2,FALSE))</f>
        <v/>
      </c>
      <c r="E22" s="249"/>
      <c r="F22" s="249"/>
      <c r="G22" s="251"/>
      <c r="H22" s="202" t="str">
        <f>IFERROR(IF(G22-$Q$2&lt;=0,"",(G22-$Q$2)*86400),"")</f>
        <v/>
      </c>
      <c r="I22" s="206"/>
      <c r="J22" s="204"/>
      <c r="K22" s="207" t="str">
        <f>IFERROR(H22*(1+0.01*J22)-I22*$N$3,"")</f>
        <v/>
      </c>
      <c r="L22" s="205" t="str">
        <f>IFERROR((K22-$K$7)/86400,"")</f>
        <v/>
      </c>
      <c r="M22" s="208" t="str">
        <f>IFERROR((K22-$K$7)/$N$3,"")</f>
        <v/>
      </c>
      <c r="N22" s="209" t="str">
        <f>IFERROR($N$3/(H22/3600),"")</f>
        <v/>
      </c>
      <c r="O22" s="210"/>
      <c r="P22" s="261"/>
      <c r="Q22" s="256"/>
      <c r="R22" s="268"/>
      <c r="S22" s="288" t="str">
        <f t="shared" si="9"/>
        <v/>
      </c>
      <c r="T22" s="289" t="str">
        <f t="shared" si="10"/>
        <v/>
      </c>
      <c r="U22" s="290" t="str">
        <f t="shared" si="11"/>
        <v/>
      </c>
      <c r="V22" s="291" t="str">
        <f t="shared" si="12"/>
        <v/>
      </c>
      <c r="W22" s="292" t="str">
        <f t="shared" si="13"/>
        <v/>
      </c>
      <c r="X22" s="293" t="str">
        <f t="shared" si="14"/>
        <v/>
      </c>
      <c r="Y22" s="280"/>
      <c r="Z22" s="294" t="str">
        <f t="shared" si="15"/>
        <v/>
      </c>
      <c r="AA22" s="287" t="str">
        <f t="shared" si="16"/>
        <v/>
      </c>
      <c r="AB22" s="295" t="str">
        <f t="shared" si="17"/>
        <v/>
      </c>
    </row>
    <row r="23" spans="1:28" ht="14.25" customHeight="1">
      <c r="A23" s="184"/>
      <c r="B23" s="213"/>
      <c r="C23" s="214"/>
      <c r="D23" s="215" t="str">
        <f t="shared" si="27"/>
        <v/>
      </c>
      <c r="E23" s="216"/>
      <c r="F23" s="216"/>
      <c r="G23" s="217"/>
      <c r="H23" s="214"/>
      <c r="I23" s="218"/>
      <c r="J23" s="216"/>
      <c r="K23" s="219"/>
      <c r="L23" s="217"/>
      <c r="M23" s="220"/>
      <c r="N23" s="221"/>
      <c r="O23" s="222"/>
      <c r="P23" s="262"/>
      <c r="Q23" s="224"/>
      <c r="R23" s="268"/>
      <c r="S23" s="288" t="str">
        <f t="shared" si="9"/>
        <v/>
      </c>
      <c r="T23" s="289" t="str">
        <f t="shared" si="10"/>
        <v/>
      </c>
      <c r="U23" s="290" t="str">
        <f t="shared" si="11"/>
        <v/>
      </c>
      <c r="V23" s="291" t="str">
        <f t="shared" si="12"/>
        <v/>
      </c>
      <c r="W23" s="292" t="str">
        <f t="shared" si="13"/>
        <v/>
      </c>
      <c r="X23" s="293" t="str">
        <f t="shared" si="14"/>
        <v/>
      </c>
      <c r="Y23" s="280"/>
      <c r="Z23" s="294" t="str">
        <f t="shared" si="15"/>
        <v/>
      </c>
      <c r="AA23" s="287" t="str">
        <f t="shared" si="16"/>
        <v/>
      </c>
      <c r="AB23" s="295" t="str">
        <f t="shared" si="17"/>
        <v/>
      </c>
    </row>
    <row r="24" spans="1:28" ht="14.25">
      <c r="A24" s="184"/>
      <c r="B24" s="213"/>
      <c r="C24" s="214"/>
      <c r="D24" s="215" t="str">
        <f t="shared" si="27"/>
        <v/>
      </c>
      <c r="E24" s="216"/>
      <c r="F24" s="216"/>
      <c r="G24" s="217"/>
      <c r="H24" s="214"/>
      <c r="I24" s="218"/>
      <c r="J24" s="216"/>
      <c r="K24" s="219"/>
      <c r="L24" s="217"/>
      <c r="M24" s="220"/>
      <c r="N24" s="221"/>
      <c r="O24" s="222"/>
      <c r="P24" s="258"/>
      <c r="Q24" s="224"/>
      <c r="R24" s="268"/>
      <c r="S24" s="288" t="str">
        <f t="shared" si="9"/>
        <v/>
      </c>
      <c r="T24" s="289" t="str">
        <f t="shared" si="10"/>
        <v/>
      </c>
      <c r="U24" s="290" t="str">
        <f t="shared" si="11"/>
        <v/>
      </c>
      <c r="V24" s="291" t="str">
        <f t="shared" si="12"/>
        <v/>
      </c>
      <c r="W24" s="292" t="str">
        <f t="shared" si="13"/>
        <v/>
      </c>
      <c r="X24" s="293" t="str">
        <f t="shared" si="14"/>
        <v/>
      </c>
      <c r="Y24" s="280"/>
      <c r="Z24" s="294" t="str">
        <f t="shared" si="15"/>
        <v/>
      </c>
      <c r="AA24" s="287" t="str">
        <f t="shared" si="16"/>
        <v/>
      </c>
      <c r="AB24" s="295" t="str">
        <f t="shared" si="17"/>
        <v/>
      </c>
    </row>
    <row r="25" spans="1:28" ht="14.25" customHeight="1">
      <c r="A25" s="184"/>
      <c r="B25" s="213"/>
      <c r="C25" s="214"/>
      <c r="D25" s="215" t="str">
        <f t="shared" si="27"/>
        <v/>
      </c>
      <c r="E25" s="216"/>
      <c r="F25" s="216"/>
      <c r="G25" s="217"/>
      <c r="H25" s="214"/>
      <c r="I25" s="218"/>
      <c r="J25" s="216"/>
      <c r="K25" s="219"/>
      <c r="L25" s="217"/>
      <c r="M25" s="220"/>
      <c r="N25" s="221"/>
      <c r="O25" s="222"/>
      <c r="P25" s="258"/>
      <c r="Q25" s="224"/>
      <c r="R25" s="268"/>
      <c r="S25" s="288" t="str">
        <f t="shared" si="9"/>
        <v/>
      </c>
      <c r="T25" s="289" t="str">
        <f t="shared" si="10"/>
        <v/>
      </c>
      <c r="U25" s="290" t="str">
        <f t="shared" si="11"/>
        <v/>
      </c>
      <c r="V25" s="291" t="str">
        <f t="shared" si="12"/>
        <v/>
      </c>
      <c r="W25" s="292" t="str">
        <f t="shared" si="13"/>
        <v/>
      </c>
      <c r="X25" s="293" t="str">
        <f t="shared" si="14"/>
        <v/>
      </c>
      <c r="Y25" s="280"/>
      <c r="Z25" s="294" t="str">
        <f t="shared" si="15"/>
        <v/>
      </c>
      <c r="AA25" s="287" t="str">
        <f t="shared" si="16"/>
        <v/>
      </c>
      <c r="AB25" s="295" t="str">
        <f t="shared" si="17"/>
        <v/>
      </c>
    </row>
    <row r="26" spans="1:28" ht="15" thickBot="1">
      <c r="A26" s="184"/>
      <c r="B26" s="213"/>
      <c r="C26" s="214"/>
      <c r="D26" s="227" t="str">
        <f t="shared" si="27"/>
        <v/>
      </c>
      <c r="E26" s="228"/>
      <c r="F26" s="216"/>
      <c r="G26" s="217"/>
      <c r="H26" s="226" t="str">
        <f>IFERROR(IF(G26-$Q$2&lt;=0,"",(G26-$Q$2)*86400),"")</f>
        <v/>
      </c>
      <c r="I26" s="241" t="str">
        <f>IF($I$6="Ⅰ",V26,IF($I$6="Ⅱ",W26,IF($I$6="Ⅲ",X26,"")))</f>
        <v/>
      </c>
      <c r="J26" s="228"/>
      <c r="K26" s="243" t="str">
        <f>IFERROR(H26*(1+0.01*J26)-I26*$N$3,"")</f>
        <v/>
      </c>
      <c r="L26" s="229" t="str">
        <f>IFERROR((K26-$K$7)/86400,"")</f>
        <v/>
      </c>
      <c r="M26" s="244" t="str">
        <f>IFERROR((K26-$K$7)/$N$3,"")</f>
        <v/>
      </c>
      <c r="N26" s="245" t="str">
        <f>IFERROR($N$3/(H26/3600),"")</f>
        <v/>
      </c>
      <c r="O26" s="246" t="str">
        <f>IF($O$6="MAX=20",Z26,IF($O$6="MAX=30",AA26,IF($O$6="MAX=40",AB26,"")))</f>
        <v/>
      </c>
      <c r="P26" s="259"/>
      <c r="Q26" s="239"/>
      <c r="R26" s="268"/>
      <c r="S26" s="296" t="str">
        <f t="shared" si="9"/>
        <v/>
      </c>
      <c r="T26" s="297" t="str">
        <f t="shared" si="10"/>
        <v/>
      </c>
      <c r="U26" s="298" t="str">
        <f t="shared" si="11"/>
        <v/>
      </c>
      <c r="V26" s="299" t="str">
        <f t="shared" si="12"/>
        <v/>
      </c>
      <c r="W26" s="300" t="str">
        <f t="shared" si="13"/>
        <v/>
      </c>
      <c r="X26" s="301" t="str">
        <f t="shared" si="14"/>
        <v/>
      </c>
      <c r="Y26" s="280"/>
      <c r="Z26" s="310" t="str">
        <f t="shared" si="15"/>
        <v/>
      </c>
      <c r="AA26" s="311" t="str">
        <f t="shared" si="16"/>
        <v/>
      </c>
      <c r="AB26" s="312" t="str">
        <f t="shared" si="17"/>
        <v/>
      </c>
    </row>
    <row r="27" spans="1:28" ht="15" customHeight="1">
      <c r="A27" s="184"/>
      <c r="B27" s="475" t="s">
        <v>278</v>
      </c>
      <c r="C27" s="476"/>
      <c r="D27" s="477"/>
      <c r="E27" s="263" t="s">
        <v>184</v>
      </c>
      <c r="F27" s="509" t="s">
        <v>395</v>
      </c>
      <c r="G27" s="510"/>
      <c r="H27" s="500" t="s">
        <v>396</v>
      </c>
      <c r="I27" s="501"/>
      <c r="J27" s="501"/>
      <c r="K27" s="501"/>
      <c r="L27" s="501"/>
      <c r="M27" s="501"/>
      <c r="N27" s="501"/>
      <c r="O27" s="501"/>
      <c r="P27" s="501"/>
      <c r="Q27" s="502"/>
      <c r="R27" s="173"/>
      <c r="S27" s="275"/>
      <c r="T27" s="275"/>
      <c r="U27" s="275"/>
      <c r="X27" s="275"/>
      <c r="Y27" s="275"/>
    </row>
    <row r="28" spans="1:28" ht="15" customHeight="1">
      <c r="A28" s="184"/>
      <c r="B28" s="478"/>
      <c r="C28" s="479"/>
      <c r="D28" s="480"/>
      <c r="E28" s="264" t="s">
        <v>185</v>
      </c>
      <c r="F28" s="504" t="s">
        <v>394</v>
      </c>
      <c r="G28" s="521"/>
      <c r="H28" s="503"/>
      <c r="I28" s="504"/>
      <c r="J28" s="504"/>
      <c r="K28" s="504"/>
      <c r="L28" s="504"/>
      <c r="M28" s="504"/>
      <c r="N28" s="504"/>
      <c r="O28" s="504"/>
      <c r="P28" s="504"/>
      <c r="Q28" s="505"/>
      <c r="R28" s="173"/>
      <c r="S28" s="275"/>
      <c r="T28" s="275"/>
      <c r="U28" s="275"/>
      <c r="X28" s="275"/>
      <c r="Y28" s="275"/>
    </row>
    <row r="29" spans="1:28" ht="23.25" customHeight="1">
      <c r="A29" s="184"/>
      <c r="B29" s="481"/>
      <c r="C29" s="482"/>
      <c r="D29" s="483"/>
      <c r="E29" s="264" t="s">
        <v>186</v>
      </c>
      <c r="F29" s="473" t="s">
        <v>387</v>
      </c>
      <c r="G29" s="474"/>
      <c r="H29" s="503"/>
      <c r="I29" s="504"/>
      <c r="J29" s="504"/>
      <c r="K29" s="504"/>
      <c r="L29" s="504"/>
      <c r="M29" s="504"/>
      <c r="N29" s="504"/>
      <c r="O29" s="504"/>
      <c r="P29" s="504"/>
      <c r="Q29" s="505"/>
      <c r="R29" s="173"/>
      <c r="S29" s="275"/>
      <c r="T29" s="275"/>
      <c r="U29" s="275"/>
      <c r="X29" s="275"/>
      <c r="Y29" s="275"/>
    </row>
    <row r="30" spans="1:28" ht="22.5" customHeight="1">
      <c r="A30" s="184"/>
      <c r="B30" s="484" t="s">
        <v>271</v>
      </c>
      <c r="C30" s="485"/>
      <c r="D30" s="486"/>
      <c r="E30" s="493" t="s">
        <v>188</v>
      </c>
      <c r="F30" s="473" t="str">
        <f>参照ﾃﾞｰﾀ!AL8</f>
        <v>波勝</v>
      </c>
      <c r="G30" s="474"/>
      <c r="H30" s="503"/>
      <c r="I30" s="504"/>
      <c r="J30" s="504"/>
      <c r="K30" s="504"/>
      <c r="L30" s="504"/>
      <c r="M30" s="504"/>
      <c r="N30" s="504"/>
      <c r="O30" s="504"/>
      <c r="P30" s="504"/>
      <c r="Q30" s="505"/>
      <c r="R30" s="173"/>
      <c r="S30" s="275"/>
      <c r="T30" s="275"/>
      <c r="U30" s="275"/>
      <c r="X30" s="275"/>
      <c r="Y30" s="275"/>
    </row>
    <row r="31" spans="1:28" ht="15" customHeight="1">
      <c r="A31" s="184"/>
      <c r="B31" s="487"/>
      <c r="C31" s="488"/>
      <c r="D31" s="489"/>
      <c r="E31" s="494"/>
      <c r="F31" s="473"/>
      <c r="G31" s="474"/>
      <c r="H31" s="503"/>
      <c r="I31" s="504"/>
      <c r="J31" s="504"/>
      <c r="K31" s="504"/>
      <c r="L31" s="504"/>
      <c r="M31" s="504"/>
      <c r="N31" s="504"/>
      <c r="O31" s="504"/>
      <c r="P31" s="504"/>
      <c r="Q31" s="505"/>
      <c r="R31" s="173"/>
      <c r="S31" s="275"/>
      <c r="T31" s="275"/>
      <c r="U31" s="275"/>
      <c r="X31" s="275"/>
      <c r="Y31" s="275"/>
    </row>
    <row r="32" spans="1:28" ht="15" customHeight="1">
      <c r="A32" s="184"/>
      <c r="B32" s="487"/>
      <c r="C32" s="488"/>
      <c r="D32" s="489"/>
      <c r="E32" s="263" t="s">
        <v>187</v>
      </c>
      <c r="F32" s="511">
        <v>43632</v>
      </c>
      <c r="G32" s="510"/>
      <c r="H32" s="503"/>
      <c r="I32" s="504"/>
      <c r="J32" s="504"/>
      <c r="K32" s="504"/>
      <c r="L32" s="504"/>
      <c r="M32" s="504"/>
      <c r="N32" s="504"/>
      <c r="O32" s="504"/>
      <c r="P32" s="504"/>
      <c r="Q32" s="505"/>
      <c r="R32" s="173"/>
      <c r="S32" s="275"/>
      <c r="T32" s="275"/>
      <c r="U32" s="275"/>
      <c r="X32" s="275"/>
      <c r="Y32" s="275"/>
    </row>
    <row r="33" spans="1:25" ht="15" customHeight="1">
      <c r="A33" s="184"/>
      <c r="B33" s="487"/>
      <c r="C33" s="488"/>
      <c r="D33" s="489"/>
      <c r="E33" s="264" t="s">
        <v>201</v>
      </c>
      <c r="F33" s="473" t="s">
        <v>74</v>
      </c>
      <c r="G33" s="474"/>
      <c r="H33" s="503"/>
      <c r="I33" s="504"/>
      <c r="J33" s="504"/>
      <c r="K33" s="504"/>
      <c r="L33" s="504"/>
      <c r="M33" s="504"/>
      <c r="N33" s="504"/>
      <c r="O33" s="504"/>
      <c r="P33" s="504"/>
      <c r="Q33" s="505"/>
      <c r="R33" s="173"/>
      <c r="S33" s="275"/>
      <c r="T33" s="275"/>
      <c r="U33" s="275"/>
      <c r="X33" s="275"/>
      <c r="Y33" s="275"/>
    </row>
    <row r="34" spans="1:25" ht="15" customHeight="1">
      <c r="A34" s="184"/>
      <c r="B34" s="487"/>
      <c r="C34" s="488"/>
      <c r="D34" s="489"/>
      <c r="E34" s="264" t="s">
        <v>188</v>
      </c>
      <c r="F34" s="473" t="str">
        <f>参照ﾃﾞｰﾀ!AL9</f>
        <v>ケロニア</v>
      </c>
      <c r="G34" s="474"/>
      <c r="H34" s="503"/>
      <c r="I34" s="504"/>
      <c r="J34" s="504"/>
      <c r="K34" s="504"/>
      <c r="L34" s="504"/>
      <c r="M34" s="504"/>
      <c r="N34" s="504"/>
      <c r="O34" s="504"/>
      <c r="P34" s="504"/>
      <c r="Q34" s="505"/>
      <c r="R34" s="173"/>
      <c r="S34" s="275"/>
      <c r="T34" s="275"/>
      <c r="U34" s="275"/>
      <c r="X34" s="275"/>
      <c r="Y34" s="275"/>
    </row>
    <row r="35" spans="1:25" ht="15" customHeight="1">
      <c r="A35" s="184"/>
      <c r="B35" s="487"/>
      <c r="C35" s="488"/>
      <c r="D35" s="489"/>
      <c r="E35" s="264"/>
      <c r="F35" s="473"/>
      <c r="G35" s="474"/>
      <c r="H35" s="503"/>
      <c r="I35" s="504"/>
      <c r="J35" s="504"/>
      <c r="K35" s="504"/>
      <c r="L35" s="504"/>
      <c r="M35" s="504"/>
      <c r="N35" s="504"/>
      <c r="O35" s="504"/>
      <c r="P35" s="504"/>
      <c r="Q35" s="505"/>
      <c r="R35" s="173"/>
      <c r="S35" s="275"/>
      <c r="T35" s="275"/>
      <c r="U35" s="275"/>
      <c r="X35" s="275"/>
      <c r="Y35" s="275"/>
    </row>
    <row r="36" spans="1:25" ht="11.25" customHeight="1" thickBot="1">
      <c r="A36" s="184"/>
      <c r="B36" s="490"/>
      <c r="C36" s="491"/>
      <c r="D36" s="492"/>
      <c r="E36" s="265"/>
      <c r="F36" s="495"/>
      <c r="G36" s="496"/>
      <c r="H36" s="506"/>
      <c r="I36" s="507"/>
      <c r="J36" s="507"/>
      <c r="K36" s="507"/>
      <c r="L36" s="507"/>
      <c r="M36" s="507"/>
      <c r="N36" s="507"/>
      <c r="O36" s="507"/>
      <c r="P36" s="507"/>
      <c r="Q36" s="508"/>
      <c r="R36" s="173"/>
      <c r="S36" s="275"/>
      <c r="T36" s="275"/>
      <c r="U36" s="275"/>
      <c r="V36" s="275"/>
      <c r="W36" s="275"/>
      <c r="X36" s="275"/>
      <c r="Y36" s="275"/>
    </row>
    <row r="37" spans="1:25">
      <c r="A37" s="184"/>
      <c r="B37" s="184"/>
      <c r="C37" s="184"/>
      <c r="D37" s="184"/>
      <c r="E37" s="184"/>
      <c r="F37" s="184"/>
      <c r="G37" s="184"/>
      <c r="H37" s="184"/>
      <c r="I37" s="184"/>
      <c r="J37" s="184"/>
      <c r="K37" s="184"/>
      <c r="L37" s="184"/>
      <c r="M37" s="184"/>
      <c r="N37" s="184"/>
      <c r="O37" s="184"/>
      <c r="P37" s="184"/>
      <c r="Q37" s="184"/>
      <c r="R37" s="184"/>
    </row>
  </sheetData>
  <sheetProtection algorithmName="SHA-512" hashValue="rqXtaubf9fR9ho7QpkmciU3gsqUAbED7yCAJQfdclMg2y/U9A819AHYJ+X8DMwnN7FiMAmdGJK024NkC2w3atg==" saltValue="kt4pjKuBxOeGWSPZFaGESA==" spinCount="100000" sheet="1" objects="1" scenarios="1"/>
  <sortState ref="C7:K16">
    <sortCondition ref="K7:K16"/>
  </sortState>
  <mergeCells count="18">
    <mergeCell ref="F33:G33"/>
    <mergeCell ref="F34:G34"/>
    <mergeCell ref="D2:F2"/>
    <mergeCell ref="E3:I3"/>
    <mergeCell ref="J3:K3"/>
    <mergeCell ref="P5:Q5"/>
    <mergeCell ref="B27:D29"/>
    <mergeCell ref="F27:G27"/>
    <mergeCell ref="H27:Q36"/>
    <mergeCell ref="F28:G28"/>
    <mergeCell ref="F29:G29"/>
    <mergeCell ref="B30:D36"/>
    <mergeCell ref="F35:G35"/>
    <mergeCell ref="F36:G36"/>
    <mergeCell ref="E30:E31"/>
    <mergeCell ref="F30:G30"/>
    <mergeCell ref="F31:G31"/>
    <mergeCell ref="F32:G32"/>
  </mergeCells>
  <phoneticPr fontId="42"/>
  <dataValidations count="8">
    <dataValidation type="list" allowBlank="1" showInputMessage="1" showErrorMessage="1" sqref="D3">
      <formula1>レース番号</formula1>
    </dataValidation>
    <dataValidation type="list" allowBlank="1" showInputMessage="1" showErrorMessage="1" sqref="I6">
      <formula1>ＴＡ</formula1>
    </dataValidation>
    <dataValidation type="list" showInputMessage="1" showErrorMessage="1" sqref="E3">
      <formula1>レース名</formula1>
    </dataValidation>
    <dataValidation type="list" allowBlank="1" showInputMessage="1" showErrorMessage="1" sqref="N2 F33:G33">
      <formula1>コース</formula1>
    </dataValidation>
    <dataValidation type="list" allowBlank="1" showInputMessage="1" showErrorMessage="1" sqref="G2">
      <formula1>月</formula1>
    </dataValidation>
    <dataValidation type="list" allowBlank="1" showInputMessage="1" showErrorMessage="1" sqref="J3:K3">
      <formula1>暫定</formula1>
    </dataValidation>
    <dataValidation type="list" allowBlank="1" showInputMessage="1" showErrorMessage="1" sqref="Q2">
      <formula1>時刻</formula1>
    </dataValidation>
    <dataValidation type="list" allowBlank="1" showInputMessage="1" showErrorMessage="1" sqref="P2 F32:G32">
      <formula1>開催日</formula1>
    </dataValidation>
  </dataValidations>
  <pageMargins left="0.31496062992125984" right="0" top="0.35433070866141736" bottom="0.19685039370078741" header="0" footer="0"/>
  <pageSetup paperSize="9" orientation="landscape" horizontalDpi="4294967293"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2"/>
  <sheetViews>
    <sheetView zoomScale="85" zoomScaleNormal="85" workbookViewId="0">
      <selection activeCell="L14" sqref="L14:L15"/>
    </sheetView>
  </sheetViews>
  <sheetFormatPr defaultRowHeight="13.5"/>
  <cols>
    <col min="1" max="1" width="1.75" style="274" customWidth="1"/>
    <col min="2" max="2" width="5" style="274" customWidth="1"/>
    <col min="3" max="3" width="7" style="274" customWidth="1"/>
    <col min="4" max="4" width="18" style="274" customWidth="1"/>
    <col min="5" max="5" width="8" style="274" customWidth="1"/>
    <col min="6" max="6" width="5" style="274" customWidth="1"/>
    <col min="7" max="7" width="10.875" style="274" customWidth="1"/>
    <col min="8" max="8" width="8.375" style="274" customWidth="1"/>
    <col min="9" max="9" width="8.625" style="274" customWidth="1"/>
    <col min="10" max="10" width="5" style="274" customWidth="1"/>
    <col min="11" max="11" width="8.5" style="274" customWidth="1"/>
    <col min="12" max="12" width="10.875" style="274" customWidth="1"/>
    <col min="13" max="13" width="9.5" style="274" customWidth="1"/>
    <col min="14" max="14" width="7.875" style="274" customWidth="1"/>
    <col min="15" max="15" width="8" style="274" customWidth="1"/>
    <col min="16" max="16" width="12" style="274" bestFit="1" customWidth="1"/>
    <col min="17" max="17" width="11.625" style="274" customWidth="1"/>
    <col min="18" max="18" width="4.875" style="274" customWidth="1"/>
    <col min="19" max="21" width="7.625" style="274" customWidth="1"/>
    <col min="22" max="22" width="8.25" style="274" customWidth="1"/>
    <col min="23" max="24" width="7.625" style="274" customWidth="1"/>
    <col min="25" max="25" width="4.5" style="274" customWidth="1"/>
    <col min="26" max="28" width="8" style="274" customWidth="1"/>
    <col min="29" max="16384" width="9" style="274"/>
  </cols>
  <sheetData>
    <row r="1" spans="1:28" ht="9.75" customHeight="1" thickBot="1">
      <c r="A1" s="184"/>
      <c r="B1" s="184"/>
      <c r="C1" s="184"/>
      <c r="D1" s="184"/>
      <c r="E1" s="184"/>
      <c r="F1" s="184"/>
      <c r="G1" s="184"/>
      <c r="H1" s="184"/>
      <c r="I1" s="184"/>
      <c r="J1" s="184"/>
      <c r="K1" s="184"/>
      <c r="L1" s="184"/>
      <c r="M1" s="184"/>
      <c r="N1" s="184"/>
      <c r="O1" s="184"/>
      <c r="P1" s="184"/>
      <c r="Q1" s="184"/>
      <c r="R1" s="184"/>
    </row>
    <row r="2" spans="1:28" ht="21">
      <c r="A2" s="184"/>
      <c r="B2" s="173"/>
      <c r="C2" s="174"/>
      <c r="D2" s="471" t="str">
        <f>参照ﾃﾞｰﾀ!P4</f>
        <v>2019年</v>
      </c>
      <c r="E2" s="471"/>
      <c r="F2" s="471"/>
      <c r="G2" s="175" t="s">
        <v>194</v>
      </c>
      <c r="H2" s="176"/>
      <c r="I2" s="177"/>
      <c r="J2" s="173"/>
      <c r="K2" s="178"/>
      <c r="L2" s="173"/>
      <c r="M2" s="179" t="s">
        <v>52</v>
      </c>
      <c r="N2" s="180" t="s">
        <v>74</v>
      </c>
      <c r="O2" s="181" t="s">
        <v>54</v>
      </c>
      <c r="P2" s="336">
        <v>43632</v>
      </c>
      <c r="Q2" s="337">
        <v>0.4375</v>
      </c>
      <c r="R2" s="173"/>
      <c r="S2" s="276" t="s">
        <v>2</v>
      </c>
      <c r="T2" s="275"/>
      <c r="U2" s="275"/>
      <c r="V2" s="275"/>
      <c r="W2" s="275"/>
      <c r="X2" s="275"/>
      <c r="Y2" s="275"/>
    </row>
    <row r="3" spans="1:28" ht="21.75" customHeight="1" thickBot="1">
      <c r="A3" s="184"/>
      <c r="B3" s="173"/>
      <c r="C3" s="184"/>
      <c r="D3" s="185" t="s">
        <v>250</v>
      </c>
      <c r="E3" s="472" t="s">
        <v>64</v>
      </c>
      <c r="F3" s="472"/>
      <c r="G3" s="472"/>
      <c r="H3" s="472"/>
      <c r="I3" s="472"/>
      <c r="J3" s="497" t="s">
        <v>86</v>
      </c>
      <c r="K3" s="497"/>
      <c r="L3" s="173"/>
      <c r="M3" s="186" t="s">
        <v>75</v>
      </c>
      <c r="N3" s="187">
        <f>IF(ISBLANK(N2),"",VLOOKUP(N2,コース・距離,2,FALSE))</f>
        <v>11.3</v>
      </c>
      <c r="O3" s="188" t="s">
        <v>0</v>
      </c>
      <c r="P3" s="189">
        <v>16</v>
      </c>
      <c r="Q3" s="190" t="s">
        <v>1</v>
      </c>
      <c r="R3" s="173"/>
      <c r="S3" s="275" t="s">
        <v>239</v>
      </c>
      <c r="T3" s="275"/>
      <c r="U3" s="275"/>
      <c r="V3" s="276" t="s">
        <v>2</v>
      </c>
      <c r="W3" s="275"/>
      <c r="X3" s="275"/>
      <c r="Y3" s="275"/>
      <c r="Z3" s="277" t="s">
        <v>76</v>
      </c>
    </row>
    <row r="4" spans="1:28" ht="7.5" customHeight="1" thickBot="1">
      <c r="A4" s="184"/>
      <c r="B4" s="173"/>
      <c r="C4" s="173"/>
      <c r="D4" s="173"/>
      <c r="E4" s="173"/>
      <c r="F4" s="173"/>
      <c r="G4" s="173"/>
      <c r="H4" s="173"/>
      <c r="I4" s="173"/>
      <c r="J4" s="173"/>
      <c r="K4" s="173"/>
      <c r="L4" s="173"/>
      <c r="M4" s="173"/>
      <c r="N4" s="173"/>
      <c r="O4" s="173"/>
      <c r="P4" s="173"/>
      <c r="Q4" s="173"/>
      <c r="R4" s="173"/>
      <c r="S4" s="275"/>
      <c r="T4" s="275"/>
      <c r="U4" s="275"/>
      <c r="V4" s="278"/>
      <c r="W4" s="275"/>
      <c r="X4" s="275"/>
      <c r="Y4" s="275"/>
    </row>
    <row r="5" spans="1:28" ht="14.25">
      <c r="A5" s="184"/>
      <c r="B5" s="191" t="s">
        <v>3</v>
      </c>
      <c r="C5" s="192" t="s">
        <v>4</v>
      </c>
      <c r="D5" s="192" t="s">
        <v>5</v>
      </c>
      <c r="E5" s="192" t="s">
        <v>6</v>
      </c>
      <c r="F5" s="192" t="s">
        <v>7</v>
      </c>
      <c r="G5" s="192" t="s">
        <v>8</v>
      </c>
      <c r="H5" s="192" t="s">
        <v>9</v>
      </c>
      <c r="I5" s="192" t="s">
        <v>10</v>
      </c>
      <c r="J5" s="192" t="s">
        <v>11</v>
      </c>
      <c r="K5" s="192" t="s">
        <v>12</v>
      </c>
      <c r="L5" s="193" t="s">
        <v>272</v>
      </c>
      <c r="M5" s="193" t="s">
        <v>269</v>
      </c>
      <c r="N5" s="192" t="s">
        <v>71</v>
      </c>
      <c r="O5" s="192" t="s">
        <v>13</v>
      </c>
      <c r="P5" s="498" t="s">
        <v>70</v>
      </c>
      <c r="Q5" s="499"/>
      <c r="R5" s="268"/>
      <c r="S5" s="281" t="s">
        <v>10</v>
      </c>
      <c r="T5" s="279" t="s">
        <v>10</v>
      </c>
      <c r="U5" s="282" t="s">
        <v>10</v>
      </c>
      <c r="V5" s="281" t="s">
        <v>10</v>
      </c>
      <c r="W5" s="279" t="s">
        <v>10</v>
      </c>
      <c r="X5" s="282" t="s">
        <v>10</v>
      </c>
      <c r="Y5" s="280"/>
      <c r="Z5" s="281" t="s">
        <v>13</v>
      </c>
      <c r="AA5" s="279" t="s">
        <v>13</v>
      </c>
      <c r="AB5" s="282" t="s">
        <v>13</v>
      </c>
    </row>
    <row r="6" spans="1:28" ht="14.25">
      <c r="A6" s="184"/>
      <c r="B6" s="194"/>
      <c r="C6" s="195" t="s">
        <v>14</v>
      </c>
      <c r="D6" s="196"/>
      <c r="E6" s="197" t="s">
        <v>15</v>
      </c>
      <c r="F6" s="197"/>
      <c r="G6" s="195" t="s">
        <v>16</v>
      </c>
      <c r="H6" s="197" t="s">
        <v>17</v>
      </c>
      <c r="I6" s="195" t="s">
        <v>236</v>
      </c>
      <c r="J6" s="197" t="s">
        <v>18</v>
      </c>
      <c r="K6" s="197" t="s">
        <v>17</v>
      </c>
      <c r="L6" s="195" t="s">
        <v>16</v>
      </c>
      <c r="M6" s="197" t="s">
        <v>46</v>
      </c>
      <c r="N6" s="197" t="s">
        <v>19</v>
      </c>
      <c r="O6" s="198" t="str">
        <f>"MAX=20"</f>
        <v>MAX=20</v>
      </c>
      <c r="P6" s="199"/>
      <c r="Q6" s="200"/>
      <c r="R6" s="269"/>
      <c r="S6" s="285" t="s">
        <v>20</v>
      </c>
      <c r="T6" s="283" t="s">
        <v>22</v>
      </c>
      <c r="U6" s="286" t="s">
        <v>21</v>
      </c>
      <c r="V6" s="285" t="s">
        <v>20</v>
      </c>
      <c r="W6" s="283" t="s">
        <v>22</v>
      </c>
      <c r="X6" s="286" t="s">
        <v>21</v>
      </c>
      <c r="Y6" s="284"/>
      <c r="Z6" s="285" t="s">
        <v>78</v>
      </c>
      <c r="AA6" s="283" t="s">
        <v>79</v>
      </c>
      <c r="AB6" s="286" t="s">
        <v>80</v>
      </c>
    </row>
    <row r="7" spans="1:28" ht="14.25">
      <c r="A7" s="184"/>
      <c r="B7" s="201">
        <v>1</v>
      </c>
      <c r="C7" s="202"/>
      <c r="D7" s="203" t="str">
        <f t="shared" ref="D7:D20" si="0">IF(ISBLANK(C7),"",VLOOKUP(C7,各艇データ,2,FALSE))</f>
        <v/>
      </c>
      <c r="E7" s="320" t="str">
        <f t="shared" ref="E7:E20" si="1">IF($I$6="Ⅰ",S7,IF($I$6="Ⅱ",T7,IF($I$6="Ⅲ",U7,"")))</f>
        <v/>
      </c>
      <c r="F7" s="204">
        <v>1</v>
      </c>
      <c r="G7" s="205"/>
      <c r="H7" s="202" t="str">
        <f t="shared" ref="H7:H20" si="2">IFERROR(IF(G7-$Q$2&lt;=0,"",(G7-$Q$2)*86400),"")</f>
        <v/>
      </c>
      <c r="I7" s="206" t="str">
        <f t="shared" ref="I7:I20" si="3">IF($I$6="Ⅰ",V7,IF($I$6="Ⅱ",W7,IF($I$6="Ⅲ",X7,"")))</f>
        <v/>
      </c>
      <c r="J7" s="204"/>
      <c r="K7" s="207" t="str">
        <f t="shared" ref="K7:K20" si="4">IFERROR(H7*(1+0.01*J7)-I7*$N$3,"")</f>
        <v/>
      </c>
      <c r="L7" s="205" t="str">
        <f t="shared" ref="L7:L20" si="5">IFERROR((K7-$K$7)/86400,"")</f>
        <v/>
      </c>
      <c r="M7" s="208" t="str">
        <f t="shared" ref="M7:M20" si="6">IFERROR((K7-$K$7)/$N$3,"")</f>
        <v/>
      </c>
      <c r="N7" s="209" t="str">
        <f t="shared" ref="N7:N20" si="7">IFERROR($N$3/(H7/3600),"")</f>
        <v/>
      </c>
      <c r="O7" s="210"/>
      <c r="P7" s="325"/>
      <c r="Q7" s="212"/>
      <c r="R7" s="268"/>
      <c r="S7" s="288" t="str">
        <f t="shared" ref="S7:S31" si="8">IF(ISBLANK(C7),"",VLOOKUP(C7,各艇データ,3,FALSE))</f>
        <v/>
      </c>
      <c r="T7" s="289" t="str">
        <f t="shared" ref="T7:T31" si="9">IF(ISBLANK(C7),"",VLOOKUP(C7,各艇データ,4,FALSE))</f>
        <v/>
      </c>
      <c r="U7" s="290" t="str">
        <f t="shared" ref="U7:U31" si="10">IF(ISBLANK(C7),"",VLOOKUP(C7,各艇データ,5,FALSE))</f>
        <v/>
      </c>
      <c r="V7" s="291" t="str">
        <f t="shared" ref="V7:V31" si="11">IF(ISBLANK(C7),"",VLOOKUP(C7,各艇データ,6,FALSE))</f>
        <v/>
      </c>
      <c r="W7" s="292" t="str">
        <f t="shared" ref="W7:W31" si="12">IF(ISBLANK(C7),"",VLOOKUP(C7,各艇データ,7,FALSE))</f>
        <v/>
      </c>
      <c r="X7" s="293" t="str">
        <f t="shared" ref="X7:X31" si="13">IF(ISBLANK(C7),"",VLOOKUP(C7,各艇データ,8,FALSE))</f>
        <v/>
      </c>
      <c r="Y7" s="280"/>
      <c r="Z7" s="294">
        <f>IF(ISBLANK(B7),"",IFERROR(20*($P$3+1-$B7)/$P$3,"20.0"))</f>
        <v>20</v>
      </c>
      <c r="AA7" s="287">
        <f>IF(ISBLANK(B7),"",IFERROR(30*($P$3+1-$B7)/$P$3,"30.0"))</f>
        <v>30</v>
      </c>
      <c r="AB7" s="295">
        <f>IF(ISBLANK(B7),"",IFERROR(30*($P$3-$B7)/($P$3-1)+10,"20.0"))</f>
        <v>40</v>
      </c>
    </row>
    <row r="8" spans="1:28" ht="14.25">
      <c r="A8" s="184"/>
      <c r="B8" s="213">
        <v>2</v>
      </c>
      <c r="C8" s="214"/>
      <c r="D8" s="215" t="str">
        <f t="shared" si="0"/>
        <v/>
      </c>
      <c r="E8" s="321" t="str">
        <f t="shared" si="1"/>
        <v/>
      </c>
      <c r="F8" s="216">
        <v>2</v>
      </c>
      <c r="G8" s="217"/>
      <c r="H8" s="214" t="str">
        <f t="shared" si="2"/>
        <v/>
      </c>
      <c r="I8" s="218" t="str">
        <f t="shared" si="3"/>
        <v/>
      </c>
      <c r="J8" s="216"/>
      <c r="K8" s="219" t="str">
        <f t="shared" si="4"/>
        <v/>
      </c>
      <c r="L8" s="217" t="str">
        <f t="shared" si="5"/>
        <v/>
      </c>
      <c r="M8" s="220" t="str">
        <f t="shared" si="6"/>
        <v/>
      </c>
      <c r="N8" s="221" t="str">
        <f t="shared" si="7"/>
        <v/>
      </c>
      <c r="O8" s="222"/>
      <c r="P8" s="223"/>
      <c r="Q8" s="224"/>
      <c r="R8" s="268"/>
      <c r="S8" s="288" t="str">
        <f t="shared" si="8"/>
        <v/>
      </c>
      <c r="T8" s="289" t="str">
        <f t="shared" si="9"/>
        <v/>
      </c>
      <c r="U8" s="290" t="str">
        <f t="shared" si="10"/>
        <v/>
      </c>
      <c r="V8" s="291" t="str">
        <f t="shared" si="11"/>
        <v/>
      </c>
      <c r="W8" s="292" t="str">
        <f t="shared" si="12"/>
        <v/>
      </c>
      <c r="X8" s="293" t="str">
        <f t="shared" si="13"/>
        <v/>
      </c>
      <c r="Y8" s="280"/>
      <c r="Z8" s="294">
        <f t="shared" ref="Z8:Z31" si="14">IF(ISBLANK(B8),"",IFERROR(20*($P$3+1-$B8)/$P$3,"20.0"))</f>
        <v>18.75</v>
      </c>
      <c r="AA8" s="287">
        <f t="shared" ref="AA8:AA31" si="15">IF(ISBLANK(B8),"",IFERROR(30*($P$3+1-$B8)/$P$3,"30.0"))</f>
        <v>28.125</v>
      </c>
      <c r="AB8" s="295">
        <f t="shared" ref="AB8:AB31" si="16">IF(ISBLANK(B8),"",IFERROR(30*($P$3-$B8)/($P$3-1)+10,"20.0"))</f>
        <v>38</v>
      </c>
    </row>
    <row r="9" spans="1:28" ht="14.25">
      <c r="A9" s="184"/>
      <c r="B9" s="213">
        <v>3</v>
      </c>
      <c r="C9" s="214"/>
      <c r="D9" s="215" t="str">
        <f t="shared" si="0"/>
        <v/>
      </c>
      <c r="E9" s="321" t="str">
        <f t="shared" si="1"/>
        <v/>
      </c>
      <c r="F9" s="216">
        <v>3</v>
      </c>
      <c r="G9" s="217"/>
      <c r="H9" s="214" t="str">
        <f t="shared" si="2"/>
        <v/>
      </c>
      <c r="I9" s="218" t="str">
        <f t="shared" si="3"/>
        <v/>
      </c>
      <c r="J9" s="216"/>
      <c r="K9" s="219" t="str">
        <f t="shared" si="4"/>
        <v/>
      </c>
      <c r="L9" s="217" t="str">
        <f t="shared" si="5"/>
        <v/>
      </c>
      <c r="M9" s="220" t="str">
        <f t="shared" si="6"/>
        <v/>
      </c>
      <c r="N9" s="221" t="str">
        <f t="shared" si="7"/>
        <v/>
      </c>
      <c r="O9" s="222"/>
      <c r="P9" s="223"/>
      <c r="Q9" s="224"/>
      <c r="R9" s="268"/>
      <c r="S9" s="288" t="str">
        <f t="shared" si="8"/>
        <v/>
      </c>
      <c r="T9" s="289" t="str">
        <f t="shared" si="9"/>
        <v/>
      </c>
      <c r="U9" s="290" t="str">
        <f t="shared" si="10"/>
        <v/>
      </c>
      <c r="V9" s="291" t="str">
        <f t="shared" si="11"/>
        <v/>
      </c>
      <c r="W9" s="292" t="str">
        <f t="shared" si="12"/>
        <v/>
      </c>
      <c r="X9" s="293" t="str">
        <f t="shared" si="13"/>
        <v/>
      </c>
      <c r="Y9" s="280"/>
      <c r="Z9" s="294">
        <f t="shared" si="14"/>
        <v>17.5</v>
      </c>
      <c r="AA9" s="287">
        <f t="shared" si="15"/>
        <v>26.25</v>
      </c>
      <c r="AB9" s="295">
        <f t="shared" si="16"/>
        <v>36</v>
      </c>
    </row>
    <row r="10" spans="1:28" ht="14.25">
      <c r="A10" s="184"/>
      <c r="B10" s="213">
        <v>4</v>
      </c>
      <c r="C10" s="214"/>
      <c r="D10" s="215" t="str">
        <f t="shared" si="0"/>
        <v/>
      </c>
      <c r="E10" s="321" t="str">
        <f t="shared" si="1"/>
        <v/>
      </c>
      <c r="F10" s="216">
        <v>4</v>
      </c>
      <c r="G10" s="217"/>
      <c r="H10" s="214" t="str">
        <f t="shared" si="2"/>
        <v/>
      </c>
      <c r="I10" s="218" t="str">
        <f t="shared" si="3"/>
        <v/>
      </c>
      <c r="J10" s="216"/>
      <c r="K10" s="219" t="str">
        <f t="shared" si="4"/>
        <v/>
      </c>
      <c r="L10" s="217" t="str">
        <f t="shared" si="5"/>
        <v/>
      </c>
      <c r="M10" s="220" t="str">
        <f t="shared" si="6"/>
        <v/>
      </c>
      <c r="N10" s="221" t="str">
        <f t="shared" si="7"/>
        <v/>
      </c>
      <c r="O10" s="222"/>
      <c r="P10" s="303"/>
      <c r="Q10" s="224"/>
      <c r="R10" s="268"/>
      <c r="S10" s="288" t="str">
        <f t="shared" si="8"/>
        <v/>
      </c>
      <c r="T10" s="289" t="str">
        <f t="shared" si="9"/>
        <v/>
      </c>
      <c r="U10" s="290" t="str">
        <f t="shared" si="10"/>
        <v/>
      </c>
      <c r="V10" s="291" t="str">
        <f t="shared" si="11"/>
        <v/>
      </c>
      <c r="W10" s="292" t="str">
        <f t="shared" si="12"/>
        <v/>
      </c>
      <c r="X10" s="293" t="str">
        <f t="shared" si="13"/>
        <v/>
      </c>
      <c r="Y10" s="280"/>
      <c r="Z10" s="294">
        <f t="shared" si="14"/>
        <v>16.25</v>
      </c>
      <c r="AA10" s="287">
        <f t="shared" si="15"/>
        <v>24.375</v>
      </c>
      <c r="AB10" s="295">
        <f t="shared" si="16"/>
        <v>34</v>
      </c>
    </row>
    <row r="11" spans="1:28" ht="14.25">
      <c r="A11" s="184"/>
      <c r="B11" s="225">
        <v>5</v>
      </c>
      <c r="C11" s="226"/>
      <c r="D11" s="227" t="str">
        <f t="shared" si="0"/>
        <v/>
      </c>
      <c r="E11" s="322" t="str">
        <f t="shared" si="1"/>
        <v/>
      </c>
      <c r="F11" s="228">
        <v>5</v>
      </c>
      <c r="G11" s="229"/>
      <c r="H11" s="230" t="str">
        <f t="shared" si="2"/>
        <v/>
      </c>
      <c r="I11" s="231" t="str">
        <f t="shared" si="3"/>
        <v/>
      </c>
      <c r="J11" s="232"/>
      <c r="K11" s="233" t="str">
        <f t="shared" si="4"/>
        <v/>
      </c>
      <c r="L11" s="234" t="str">
        <f t="shared" si="5"/>
        <v/>
      </c>
      <c r="M11" s="235" t="str">
        <f t="shared" si="6"/>
        <v/>
      </c>
      <c r="N11" s="236" t="str">
        <f t="shared" si="7"/>
        <v/>
      </c>
      <c r="O11" s="237"/>
      <c r="P11" s="238"/>
      <c r="Q11" s="239"/>
      <c r="R11" s="268"/>
      <c r="S11" s="288" t="str">
        <f t="shared" si="8"/>
        <v/>
      </c>
      <c r="T11" s="289" t="str">
        <f t="shared" si="9"/>
        <v/>
      </c>
      <c r="U11" s="290" t="str">
        <f t="shared" si="10"/>
        <v/>
      </c>
      <c r="V11" s="291" t="str">
        <f t="shared" si="11"/>
        <v/>
      </c>
      <c r="W11" s="292" t="str">
        <f t="shared" si="12"/>
        <v/>
      </c>
      <c r="X11" s="293" t="str">
        <f t="shared" si="13"/>
        <v/>
      </c>
      <c r="Y11" s="280"/>
      <c r="Z11" s="294">
        <f t="shared" si="14"/>
        <v>15</v>
      </c>
      <c r="AA11" s="287">
        <f t="shared" si="15"/>
        <v>22.5</v>
      </c>
      <c r="AB11" s="295">
        <f t="shared" si="16"/>
        <v>32</v>
      </c>
    </row>
    <row r="12" spans="1:28" ht="14.25">
      <c r="A12" s="184"/>
      <c r="B12" s="201">
        <v>6</v>
      </c>
      <c r="C12" s="202"/>
      <c r="D12" s="203" t="str">
        <f t="shared" si="0"/>
        <v/>
      </c>
      <c r="E12" s="320" t="str">
        <f t="shared" si="1"/>
        <v/>
      </c>
      <c r="F12" s="204">
        <v>6</v>
      </c>
      <c r="G12" s="205"/>
      <c r="H12" s="202" t="str">
        <f t="shared" si="2"/>
        <v/>
      </c>
      <c r="I12" s="206" t="str">
        <f t="shared" si="3"/>
        <v/>
      </c>
      <c r="J12" s="204"/>
      <c r="K12" s="207" t="str">
        <f t="shared" si="4"/>
        <v/>
      </c>
      <c r="L12" s="205" t="str">
        <f t="shared" si="5"/>
        <v/>
      </c>
      <c r="M12" s="208" t="str">
        <f t="shared" si="6"/>
        <v/>
      </c>
      <c r="N12" s="209" t="str">
        <f t="shared" si="7"/>
        <v/>
      </c>
      <c r="O12" s="210"/>
      <c r="P12" s="184"/>
      <c r="Q12" s="212"/>
      <c r="R12" s="268"/>
      <c r="S12" s="288" t="str">
        <f t="shared" si="8"/>
        <v/>
      </c>
      <c r="T12" s="289" t="str">
        <f t="shared" si="9"/>
        <v/>
      </c>
      <c r="U12" s="290" t="str">
        <f t="shared" si="10"/>
        <v/>
      </c>
      <c r="V12" s="291" t="str">
        <f t="shared" si="11"/>
        <v/>
      </c>
      <c r="W12" s="292" t="str">
        <f t="shared" si="12"/>
        <v/>
      </c>
      <c r="X12" s="293" t="str">
        <f t="shared" si="13"/>
        <v/>
      </c>
      <c r="Y12" s="280"/>
      <c r="Z12" s="294">
        <f t="shared" si="14"/>
        <v>13.75</v>
      </c>
      <c r="AA12" s="287">
        <f t="shared" si="15"/>
        <v>20.625</v>
      </c>
      <c r="AB12" s="295">
        <f t="shared" si="16"/>
        <v>30</v>
      </c>
    </row>
    <row r="13" spans="1:28" ht="14.25">
      <c r="A13" s="184"/>
      <c r="B13" s="213">
        <v>7</v>
      </c>
      <c r="C13" s="214"/>
      <c r="D13" s="215" t="str">
        <f t="shared" si="0"/>
        <v/>
      </c>
      <c r="E13" s="321" t="str">
        <f t="shared" si="1"/>
        <v/>
      </c>
      <c r="F13" s="216">
        <v>7</v>
      </c>
      <c r="G13" s="217"/>
      <c r="H13" s="214" t="str">
        <f t="shared" si="2"/>
        <v/>
      </c>
      <c r="I13" s="218" t="str">
        <f t="shared" si="3"/>
        <v/>
      </c>
      <c r="J13" s="216"/>
      <c r="K13" s="219" t="str">
        <f t="shared" si="4"/>
        <v/>
      </c>
      <c r="L13" s="217" t="str">
        <f t="shared" si="5"/>
        <v/>
      </c>
      <c r="M13" s="220" t="str">
        <f t="shared" si="6"/>
        <v/>
      </c>
      <c r="N13" s="221" t="str">
        <f t="shared" si="7"/>
        <v/>
      </c>
      <c r="O13" s="222"/>
      <c r="P13" s="257"/>
      <c r="Q13" s="224"/>
      <c r="R13" s="268"/>
      <c r="S13" s="288" t="str">
        <f t="shared" si="8"/>
        <v/>
      </c>
      <c r="T13" s="289" t="str">
        <f t="shared" si="9"/>
        <v/>
      </c>
      <c r="U13" s="290" t="str">
        <f t="shared" si="10"/>
        <v/>
      </c>
      <c r="V13" s="291" t="str">
        <f t="shared" si="11"/>
        <v/>
      </c>
      <c r="W13" s="292" t="str">
        <f t="shared" si="12"/>
        <v/>
      </c>
      <c r="X13" s="293" t="str">
        <f t="shared" si="13"/>
        <v/>
      </c>
      <c r="Y13" s="280"/>
      <c r="Z13" s="294">
        <f t="shared" si="14"/>
        <v>12.5</v>
      </c>
      <c r="AA13" s="287">
        <f t="shared" si="15"/>
        <v>18.75</v>
      </c>
      <c r="AB13" s="295">
        <f t="shared" si="16"/>
        <v>28</v>
      </c>
    </row>
    <row r="14" spans="1:28" ht="14.25">
      <c r="A14" s="184"/>
      <c r="B14" s="213">
        <v>8</v>
      </c>
      <c r="C14" s="214"/>
      <c r="D14" s="215" t="str">
        <f t="shared" si="0"/>
        <v/>
      </c>
      <c r="E14" s="321" t="str">
        <f t="shared" si="1"/>
        <v/>
      </c>
      <c r="F14" s="216">
        <v>8</v>
      </c>
      <c r="G14" s="217"/>
      <c r="H14" s="214" t="str">
        <f t="shared" si="2"/>
        <v/>
      </c>
      <c r="I14" s="218" t="str">
        <f t="shared" si="3"/>
        <v/>
      </c>
      <c r="J14" s="216"/>
      <c r="K14" s="219" t="str">
        <f t="shared" si="4"/>
        <v/>
      </c>
      <c r="L14" s="217" t="str">
        <f t="shared" si="5"/>
        <v/>
      </c>
      <c r="M14" s="220" t="str">
        <f t="shared" si="6"/>
        <v/>
      </c>
      <c r="N14" s="221" t="str">
        <f t="shared" si="7"/>
        <v/>
      </c>
      <c r="O14" s="222"/>
      <c r="P14" s="223"/>
      <c r="Q14" s="224"/>
      <c r="R14" s="268"/>
      <c r="S14" s="288" t="str">
        <f t="shared" si="8"/>
        <v/>
      </c>
      <c r="T14" s="289" t="str">
        <f t="shared" si="9"/>
        <v/>
      </c>
      <c r="U14" s="290" t="str">
        <f t="shared" si="10"/>
        <v/>
      </c>
      <c r="V14" s="291" t="str">
        <f t="shared" si="11"/>
        <v/>
      </c>
      <c r="W14" s="292" t="str">
        <f t="shared" si="12"/>
        <v/>
      </c>
      <c r="X14" s="293" t="str">
        <f t="shared" si="13"/>
        <v/>
      </c>
      <c r="Y14" s="280"/>
      <c r="Z14" s="294">
        <f t="shared" si="14"/>
        <v>11.25</v>
      </c>
      <c r="AA14" s="287">
        <f t="shared" si="15"/>
        <v>16.875</v>
      </c>
      <c r="AB14" s="295">
        <f t="shared" si="16"/>
        <v>26</v>
      </c>
    </row>
    <row r="15" spans="1:28" ht="14.25">
      <c r="A15" s="184"/>
      <c r="B15" s="213">
        <v>9</v>
      </c>
      <c r="C15" s="214"/>
      <c r="D15" s="215" t="str">
        <f t="shared" si="0"/>
        <v/>
      </c>
      <c r="E15" s="321" t="str">
        <f t="shared" si="1"/>
        <v/>
      </c>
      <c r="F15" s="216">
        <v>9</v>
      </c>
      <c r="G15" s="217"/>
      <c r="H15" s="214" t="str">
        <f t="shared" si="2"/>
        <v/>
      </c>
      <c r="I15" s="218" t="str">
        <f t="shared" si="3"/>
        <v/>
      </c>
      <c r="J15" s="216"/>
      <c r="K15" s="219" t="str">
        <f t="shared" si="4"/>
        <v/>
      </c>
      <c r="L15" s="217" t="str">
        <f t="shared" si="5"/>
        <v/>
      </c>
      <c r="M15" s="220" t="str">
        <f t="shared" si="6"/>
        <v/>
      </c>
      <c r="N15" s="221" t="str">
        <f t="shared" si="7"/>
        <v/>
      </c>
      <c r="O15" s="222"/>
      <c r="P15" s="257"/>
      <c r="Q15" s="224"/>
      <c r="R15" s="268"/>
      <c r="S15" s="288" t="str">
        <f t="shared" si="8"/>
        <v/>
      </c>
      <c r="T15" s="289" t="str">
        <f t="shared" si="9"/>
        <v/>
      </c>
      <c r="U15" s="290" t="str">
        <f t="shared" si="10"/>
        <v/>
      </c>
      <c r="V15" s="291" t="str">
        <f t="shared" si="11"/>
        <v/>
      </c>
      <c r="W15" s="292" t="str">
        <f t="shared" si="12"/>
        <v/>
      </c>
      <c r="X15" s="293" t="str">
        <f t="shared" si="13"/>
        <v/>
      </c>
      <c r="Y15" s="280"/>
      <c r="Z15" s="294">
        <f t="shared" si="14"/>
        <v>10</v>
      </c>
      <c r="AA15" s="287">
        <f t="shared" si="15"/>
        <v>15</v>
      </c>
      <c r="AB15" s="295">
        <f t="shared" si="16"/>
        <v>24</v>
      </c>
    </row>
    <row r="16" spans="1:28" ht="14.25">
      <c r="A16" s="184"/>
      <c r="B16" s="225">
        <v>10</v>
      </c>
      <c r="C16" s="226"/>
      <c r="D16" s="227" t="str">
        <f t="shared" si="0"/>
        <v/>
      </c>
      <c r="E16" s="322" t="str">
        <f t="shared" si="1"/>
        <v/>
      </c>
      <c r="F16" s="228">
        <v>10</v>
      </c>
      <c r="G16" s="229"/>
      <c r="H16" s="226" t="str">
        <f t="shared" si="2"/>
        <v/>
      </c>
      <c r="I16" s="241" t="str">
        <f t="shared" si="3"/>
        <v/>
      </c>
      <c r="J16" s="228"/>
      <c r="K16" s="243" t="str">
        <f t="shared" si="4"/>
        <v/>
      </c>
      <c r="L16" s="229" t="str">
        <f t="shared" si="5"/>
        <v/>
      </c>
      <c r="M16" s="244" t="str">
        <f t="shared" si="6"/>
        <v/>
      </c>
      <c r="N16" s="245" t="str">
        <f t="shared" si="7"/>
        <v/>
      </c>
      <c r="O16" s="246"/>
      <c r="P16" s="305"/>
      <c r="Q16" s="239"/>
      <c r="R16" s="268"/>
      <c r="S16" s="288" t="str">
        <f t="shared" si="8"/>
        <v/>
      </c>
      <c r="T16" s="289" t="str">
        <f t="shared" si="9"/>
        <v/>
      </c>
      <c r="U16" s="290" t="str">
        <f t="shared" si="10"/>
        <v/>
      </c>
      <c r="V16" s="291" t="str">
        <f t="shared" si="11"/>
        <v/>
      </c>
      <c r="W16" s="292" t="str">
        <f t="shared" si="12"/>
        <v/>
      </c>
      <c r="X16" s="293" t="str">
        <f t="shared" si="13"/>
        <v/>
      </c>
      <c r="Y16" s="280"/>
      <c r="Z16" s="294">
        <f t="shared" si="14"/>
        <v>8.75</v>
      </c>
      <c r="AA16" s="287">
        <f t="shared" si="15"/>
        <v>13.125</v>
      </c>
      <c r="AB16" s="295">
        <f t="shared" si="16"/>
        <v>22</v>
      </c>
    </row>
    <row r="17" spans="1:28" ht="14.25">
      <c r="A17" s="184"/>
      <c r="B17" s="201">
        <v>11</v>
      </c>
      <c r="C17" s="202"/>
      <c r="D17" s="203" t="str">
        <f t="shared" si="0"/>
        <v/>
      </c>
      <c r="E17" s="320" t="str">
        <f t="shared" si="1"/>
        <v/>
      </c>
      <c r="F17" s="204">
        <v>11</v>
      </c>
      <c r="G17" s="205"/>
      <c r="H17" s="247" t="str">
        <f t="shared" si="2"/>
        <v/>
      </c>
      <c r="I17" s="248" t="str">
        <f t="shared" si="3"/>
        <v/>
      </c>
      <c r="J17" s="443"/>
      <c r="K17" s="250" t="str">
        <f t="shared" si="4"/>
        <v/>
      </c>
      <c r="L17" s="251" t="str">
        <f t="shared" si="5"/>
        <v/>
      </c>
      <c r="M17" s="252" t="str">
        <f t="shared" si="6"/>
        <v/>
      </c>
      <c r="N17" s="253" t="str">
        <f t="shared" si="7"/>
        <v/>
      </c>
      <c r="O17" s="210"/>
      <c r="P17" s="318"/>
      <c r="Q17" s="212"/>
      <c r="R17" s="268"/>
      <c r="S17" s="288" t="str">
        <f t="shared" si="8"/>
        <v/>
      </c>
      <c r="T17" s="289" t="str">
        <f t="shared" si="9"/>
        <v/>
      </c>
      <c r="U17" s="290" t="str">
        <f t="shared" si="10"/>
        <v/>
      </c>
      <c r="V17" s="291" t="str">
        <f t="shared" si="11"/>
        <v/>
      </c>
      <c r="W17" s="292" t="str">
        <f t="shared" si="12"/>
        <v/>
      </c>
      <c r="X17" s="293" t="str">
        <f t="shared" si="13"/>
        <v/>
      </c>
      <c r="Y17" s="280"/>
      <c r="Z17" s="294">
        <f t="shared" si="14"/>
        <v>7.5</v>
      </c>
      <c r="AA17" s="287">
        <f t="shared" si="15"/>
        <v>11.25</v>
      </c>
      <c r="AB17" s="295">
        <f t="shared" si="16"/>
        <v>20</v>
      </c>
    </row>
    <row r="18" spans="1:28" ht="14.25">
      <c r="A18" s="184"/>
      <c r="B18" s="213">
        <v>12</v>
      </c>
      <c r="C18" s="214"/>
      <c r="D18" s="215" t="str">
        <f t="shared" si="0"/>
        <v/>
      </c>
      <c r="E18" s="321" t="str">
        <f t="shared" si="1"/>
        <v/>
      </c>
      <c r="F18" s="216">
        <v>12</v>
      </c>
      <c r="G18" s="217"/>
      <c r="H18" s="214" t="str">
        <f t="shared" si="2"/>
        <v/>
      </c>
      <c r="I18" s="218" t="str">
        <f t="shared" si="3"/>
        <v/>
      </c>
      <c r="J18" s="216"/>
      <c r="K18" s="219" t="str">
        <f t="shared" si="4"/>
        <v/>
      </c>
      <c r="L18" s="217" t="str">
        <f t="shared" si="5"/>
        <v/>
      </c>
      <c r="M18" s="220" t="str">
        <f t="shared" si="6"/>
        <v/>
      </c>
      <c r="N18" s="221" t="str">
        <f t="shared" si="7"/>
        <v/>
      </c>
      <c r="O18" s="222"/>
      <c r="P18" s="257"/>
      <c r="Q18" s="224"/>
      <c r="R18" s="268"/>
      <c r="S18" s="288" t="str">
        <f t="shared" si="8"/>
        <v/>
      </c>
      <c r="T18" s="289" t="str">
        <f t="shared" si="9"/>
        <v/>
      </c>
      <c r="U18" s="290" t="str">
        <f t="shared" si="10"/>
        <v/>
      </c>
      <c r="V18" s="291" t="str">
        <f t="shared" si="11"/>
        <v/>
      </c>
      <c r="W18" s="292" t="str">
        <f t="shared" si="12"/>
        <v/>
      </c>
      <c r="X18" s="293" t="str">
        <f t="shared" si="13"/>
        <v/>
      </c>
      <c r="Y18" s="280"/>
      <c r="Z18" s="294">
        <f t="shared" si="14"/>
        <v>6.25</v>
      </c>
      <c r="AA18" s="287">
        <f t="shared" si="15"/>
        <v>9.375</v>
      </c>
      <c r="AB18" s="295">
        <f t="shared" si="16"/>
        <v>18</v>
      </c>
    </row>
    <row r="19" spans="1:28" ht="14.25">
      <c r="A19" s="184"/>
      <c r="B19" s="213">
        <v>13</v>
      </c>
      <c r="C19" s="214"/>
      <c r="D19" s="215" t="str">
        <f t="shared" si="0"/>
        <v/>
      </c>
      <c r="E19" s="321" t="str">
        <f t="shared" si="1"/>
        <v/>
      </c>
      <c r="F19" s="216">
        <v>13</v>
      </c>
      <c r="G19" s="217"/>
      <c r="H19" s="214" t="str">
        <f t="shared" si="2"/>
        <v/>
      </c>
      <c r="I19" s="218" t="str">
        <f t="shared" si="3"/>
        <v/>
      </c>
      <c r="J19" s="216"/>
      <c r="K19" s="219" t="str">
        <f t="shared" si="4"/>
        <v/>
      </c>
      <c r="L19" s="217" t="str">
        <f t="shared" si="5"/>
        <v/>
      </c>
      <c r="M19" s="220" t="str">
        <f t="shared" si="6"/>
        <v/>
      </c>
      <c r="N19" s="221" t="str">
        <f t="shared" si="7"/>
        <v/>
      </c>
      <c r="O19" s="222"/>
      <c r="P19" s="257"/>
      <c r="Q19" s="224"/>
      <c r="R19" s="268"/>
      <c r="S19" s="288" t="str">
        <f t="shared" si="8"/>
        <v/>
      </c>
      <c r="T19" s="289" t="str">
        <f t="shared" si="9"/>
        <v/>
      </c>
      <c r="U19" s="290" t="str">
        <f t="shared" si="10"/>
        <v/>
      </c>
      <c r="V19" s="291" t="str">
        <f t="shared" si="11"/>
        <v/>
      </c>
      <c r="W19" s="292" t="str">
        <f t="shared" si="12"/>
        <v/>
      </c>
      <c r="X19" s="293" t="str">
        <f t="shared" si="13"/>
        <v/>
      </c>
      <c r="Y19" s="280"/>
      <c r="Z19" s="294">
        <f t="shared" si="14"/>
        <v>5</v>
      </c>
      <c r="AA19" s="287">
        <f t="shared" si="15"/>
        <v>7.5</v>
      </c>
      <c r="AB19" s="295">
        <f t="shared" si="16"/>
        <v>16</v>
      </c>
    </row>
    <row r="20" spans="1:28" ht="14.25">
      <c r="A20" s="184"/>
      <c r="B20" s="213">
        <v>14</v>
      </c>
      <c r="C20" s="214"/>
      <c r="D20" s="215" t="str">
        <f t="shared" si="0"/>
        <v/>
      </c>
      <c r="E20" s="321" t="str">
        <f t="shared" si="1"/>
        <v/>
      </c>
      <c r="F20" s="216">
        <v>14</v>
      </c>
      <c r="G20" s="217"/>
      <c r="H20" s="214" t="str">
        <f t="shared" si="2"/>
        <v/>
      </c>
      <c r="I20" s="218" t="str">
        <f t="shared" si="3"/>
        <v/>
      </c>
      <c r="J20" s="216"/>
      <c r="K20" s="219" t="str">
        <f t="shared" si="4"/>
        <v/>
      </c>
      <c r="L20" s="217" t="str">
        <f t="shared" si="5"/>
        <v/>
      </c>
      <c r="M20" s="220" t="str">
        <f t="shared" si="6"/>
        <v/>
      </c>
      <c r="N20" s="221" t="str">
        <f t="shared" si="7"/>
        <v/>
      </c>
      <c r="O20" s="222"/>
      <c r="P20" s="318"/>
      <c r="Q20" s="224"/>
      <c r="R20" s="268"/>
      <c r="S20" s="288" t="str">
        <f t="shared" si="8"/>
        <v/>
      </c>
      <c r="T20" s="289" t="str">
        <f t="shared" si="9"/>
        <v/>
      </c>
      <c r="U20" s="290" t="str">
        <f t="shared" si="10"/>
        <v/>
      </c>
      <c r="V20" s="291" t="str">
        <f t="shared" si="11"/>
        <v/>
      </c>
      <c r="W20" s="292" t="str">
        <f t="shared" si="12"/>
        <v/>
      </c>
      <c r="X20" s="293" t="str">
        <f t="shared" si="13"/>
        <v/>
      </c>
      <c r="Y20" s="280"/>
      <c r="Z20" s="294">
        <f t="shared" si="14"/>
        <v>3.75</v>
      </c>
      <c r="AA20" s="287">
        <f t="shared" si="15"/>
        <v>5.625</v>
      </c>
      <c r="AB20" s="295">
        <f t="shared" si="16"/>
        <v>14</v>
      </c>
    </row>
    <row r="21" spans="1:28" ht="14.25">
      <c r="A21" s="184"/>
      <c r="B21" s="225">
        <v>15</v>
      </c>
      <c r="C21" s="226"/>
      <c r="D21" s="227" t="str">
        <f t="shared" ref="D21:D22" si="17">IF(ISBLANK(C21),"",VLOOKUP(C21,各艇データ,2,FALSE))</f>
        <v/>
      </c>
      <c r="E21" s="228" t="str">
        <f t="shared" ref="E21:E22" si="18">IF($I$6="Ⅰ",S21,IF($I$6="Ⅱ",T21,IF($I$6="Ⅲ",U21,"")))</f>
        <v/>
      </c>
      <c r="F21" s="228">
        <v>15</v>
      </c>
      <c r="G21" s="229"/>
      <c r="H21" s="226" t="str">
        <f t="shared" ref="H21:H22" si="19">IFERROR(IF(G21-$Q$2&lt;=0,"",(G21-$Q$2)*86400),"")</f>
        <v/>
      </c>
      <c r="I21" s="241" t="str">
        <f t="shared" ref="I21:I22" si="20">IF($I$6="Ⅰ",V21,IF($I$6="Ⅱ",W21,IF($I$6="Ⅲ",X21,"")))</f>
        <v/>
      </c>
      <c r="J21" s="228"/>
      <c r="K21" s="243"/>
      <c r="L21" s="229"/>
      <c r="M21" s="244"/>
      <c r="N21" s="245"/>
      <c r="O21" s="246"/>
      <c r="P21" s="305"/>
      <c r="Q21" s="239"/>
      <c r="R21" s="268"/>
      <c r="S21" s="288" t="str">
        <f t="shared" si="8"/>
        <v/>
      </c>
      <c r="T21" s="289" t="str">
        <f t="shared" si="9"/>
        <v/>
      </c>
      <c r="U21" s="290" t="str">
        <f t="shared" si="10"/>
        <v/>
      </c>
      <c r="V21" s="291" t="str">
        <f t="shared" si="11"/>
        <v/>
      </c>
      <c r="W21" s="292" t="str">
        <f t="shared" si="12"/>
        <v/>
      </c>
      <c r="X21" s="293" t="str">
        <f t="shared" si="13"/>
        <v/>
      </c>
      <c r="Y21" s="280"/>
      <c r="Z21" s="294">
        <f t="shared" si="14"/>
        <v>2.5</v>
      </c>
      <c r="AA21" s="287">
        <f t="shared" si="15"/>
        <v>3.75</v>
      </c>
      <c r="AB21" s="295">
        <f t="shared" si="16"/>
        <v>12</v>
      </c>
    </row>
    <row r="22" spans="1:28" ht="14.25">
      <c r="A22" s="184"/>
      <c r="B22" s="255">
        <v>16</v>
      </c>
      <c r="C22" s="323"/>
      <c r="D22" s="260" t="str">
        <f t="shared" si="17"/>
        <v/>
      </c>
      <c r="E22" s="204" t="str">
        <f t="shared" si="18"/>
        <v/>
      </c>
      <c r="F22" s="249">
        <v>16</v>
      </c>
      <c r="G22" s="251"/>
      <c r="H22" s="247" t="str">
        <f t="shared" si="19"/>
        <v/>
      </c>
      <c r="I22" s="248" t="str">
        <f t="shared" si="20"/>
        <v/>
      </c>
      <c r="J22" s="249"/>
      <c r="K22" s="250"/>
      <c r="L22" s="251"/>
      <c r="M22" s="252"/>
      <c r="N22" s="253"/>
      <c r="O22" s="210"/>
      <c r="P22" s="324"/>
      <c r="Q22" s="256"/>
      <c r="R22" s="268"/>
      <c r="S22" s="288" t="str">
        <f t="shared" si="8"/>
        <v/>
      </c>
      <c r="T22" s="289" t="str">
        <f t="shared" si="9"/>
        <v/>
      </c>
      <c r="U22" s="290" t="str">
        <f t="shared" si="10"/>
        <v/>
      </c>
      <c r="V22" s="291" t="str">
        <f t="shared" si="11"/>
        <v/>
      </c>
      <c r="W22" s="292" t="str">
        <f t="shared" si="12"/>
        <v/>
      </c>
      <c r="X22" s="293" t="str">
        <f t="shared" si="13"/>
        <v/>
      </c>
      <c r="Y22" s="280"/>
      <c r="Z22" s="294">
        <f t="shared" si="14"/>
        <v>1.25</v>
      </c>
      <c r="AA22" s="287">
        <f t="shared" si="15"/>
        <v>1.875</v>
      </c>
      <c r="AB22" s="295">
        <f t="shared" si="16"/>
        <v>10</v>
      </c>
    </row>
    <row r="23" spans="1:28" ht="14.25">
      <c r="A23" s="184"/>
      <c r="B23" s="213"/>
      <c r="C23" s="214"/>
      <c r="D23" s="215" t="str">
        <f t="shared" ref="D23" si="21">IF(ISBLANK(C23),"",VLOOKUP(C23,各艇データ,2,FALSE))</f>
        <v/>
      </c>
      <c r="E23" s="216"/>
      <c r="F23" s="216"/>
      <c r="G23" s="217"/>
      <c r="H23" s="214"/>
      <c r="I23" s="218"/>
      <c r="J23" s="216"/>
      <c r="K23" s="219"/>
      <c r="L23" s="217"/>
      <c r="M23" s="220"/>
      <c r="N23" s="221"/>
      <c r="O23" s="222"/>
      <c r="P23" s="257"/>
      <c r="Q23" s="224"/>
      <c r="R23" s="268"/>
      <c r="S23" s="288" t="str">
        <f t="shared" si="8"/>
        <v/>
      </c>
      <c r="T23" s="289" t="str">
        <f t="shared" si="9"/>
        <v/>
      </c>
      <c r="U23" s="290" t="str">
        <f t="shared" si="10"/>
        <v/>
      </c>
      <c r="V23" s="291" t="str">
        <f t="shared" si="11"/>
        <v/>
      </c>
      <c r="W23" s="292" t="str">
        <f t="shared" si="12"/>
        <v/>
      </c>
      <c r="X23" s="293" t="str">
        <f t="shared" si="13"/>
        <v/>
      </c>
      <c r="Y23" s="280"/>
      <c r="Z23" s="294" t="str">
        <f t="shared" si="14"/>
        <v/>
      </c>
      <c r="AA23" s="287" t="str">
        <f t="shared" si="15"/>
        <v/>
      </c>
      <c r="AB23" s="295" t="str">
        <f t="shared" si="16"/>
        <v/>
      </c>
    </row>
    <row r="24" spans="1:28" ht="14.25">
      <c r="A24" s="184"/>
      <c r="B24" s="255"/>
      <c r="C24" s="214"/>
      <c r="D24" s="260"/>
      <c r="E24" s="216"/>
      <c r="F24" s="216"/>
      <c r="G24" s="217"/>
      <c r="H24" s="214"/>
      <c r="I24" s="218"/>
      <c r="J24" s="216"/>
      <c r="K24" s="219"/>
      <c r="L24" s="217"/>
      <c r="M24" s="220"/>
      <c r="N24" s="221"/>
      <c r="O24" s="222"/>
      <c r="P24" s="258"/>
      <c r="Q24" s="224"/>
      <c r="R24" s="268"/>
      <c r="S24" s="288" t="str">
        <f t="shared" si="8"/>
        <v/>
      </c>
      <c r="T24" s="289" t="str">
        <f t="shared" si="9"/>
        <v/>
      </c>
      <c r="U24" s="290" t="str">
        <f t="shared" si="10"/>
        <v/>
      </c>
      <c r="V24" s="291" t="str">
        <f t="shared" si="11"/>
        <v/>
      </c>
      <c r="W24" s="292" t="str">
        <f t="shared" si="12"/>
        <v/>
      </c>
      <c r="X24" s="293" t="str">
        <f t="shared" si="13"/>
        <v/>
      </c>
      <c r="Y24" s="280"/>
      <c r="Z24" s="294" t="str">
        <f t="shared" si="14"/>
        <v/>
      </c>
      <c r="AA24" s="287" t="str">
        <f t="shared" si="15"/>
        <v/>
      </c>
      <c r="AB24" s="295" t="str">
        <f t="shared" si="16"/>
        <v/>
      </c>
    </row>
    <row r="25" spans="1:28" ht="14.25">
      <c r="A25" s="184"/>
      <c r="B25" s="213"/>
      <c r="C25" s="214"/>
      <c r="D25" s="215" t="str">
        <f t="shared" ref="D25:D31" si="22">IF(ISBLANK(C25),"",VLOOKUP(C25,各艇データ,2,FALSE))</f>
        <v/>
      </c>
      <c r="E25" s="216"/>
      <c r="F25" s="216"/>
      <c r="G25" s="217"/>
      <c r="H25" s="214"/>
      <c r="I25" s="218"/>
      <c r="J25" s="216"/>
      <c r="K25" s="219"/>
      <c r="L25" s="217"/>
      <c r="M25" s="220"/>
      <c r="N25" s="221"/>
      <c r="O25" s="222"/>
      <c r="P25" s="258"/>
      <c r="Q25" s="224"/>
      <c r="R25" s="268"/>
      <c r="S25" s="288" t="str">
        <f t="shared" si="8"/>
        <v/>
      </c>
      <c r="T25" s="289" t="str">
        <f t="shared" si="9"/>
        <v/>
      </c>
      <c r="U25" s="290" t="str">
        <f t="shared" si="10"/>
        <v/>
      </c>
      <c r="V25" s="291" t="str">
        <f t="shared" si="11"/>
        <v/>
      </c>
      <c r="W25" s="292" t="str">
        <f t="shared" si="12"/>
        <v/>
      </c>
      <c r="X25" s="293" t="str">
        <f t="shared" si="13"/>
        <v/>
      </c>
      <c r="Y25" s="280"/>
      <c r="Z25" s="294" t="str">
        <f t="shared" si="14"/>
        <v/>
      </c>
      <c r="AA25" s="287" t="str">
        <f t="shared" si="15"/>
        <v/>
      </c>
      <c r="AB25" s="295" t="str">
        <f t="shared" si="16"/>
        <v/>
      </c>
    </row>
    <row r="26" spans="1:28" ht="14.25">
      <c r="A26" s="184"/>
      <c r="B26" s="225"/>
      <c r="C26" s="226"/>
      <c r="D26" s="227" t="str">
        <f t="shared" si="22"/>
        <v/>
      </c>
      <c r="E26" s="228"/>
      <c r="F26" s="228"/>
      <c r="G26" s="229"/>
      <c r="H26" s="226" t="str">
        <f>IFERROR(IF(G26-$Q$2&lt;=0,"",(G26-$Q$2)*86400),"")</f>
        <v/>
      </c>
      <c r="I26" s="241" t="str">
        <f>IF($I$6="Ⅰ",V26,IF($I$6="Ⅱ",W26,IF($I$6="Ⅲ",X26,"")))</f>
        <v/>
      </c>
      <c r="J26" s="228"/>
      <c r="K26" s="243" t="str">
        <f>IFERROR(H26*(1+0.01*J26)-I26*$N$3,"")</f>
        <v/>
      </c>
      <c r="L26" s="229" t="str">
        <f>IFERROR((K26-$K$7)/86400,"")</f>
        <v/>
      </c>
      <c r="M26" s="244" t="str">
        <f>IFERROR((K26-$K$7)/$N$3,"")</f>
        <v/>
      </c>
      <c r="N26" s="245" t="str">
        <f>IFERROR($N$3/(H26/3600),"")</f>
        <v/>
      </c>
      <c r="O26" s="246" t="str">
        <f>IF($O$6="MAX=20",Z26,IF($O$6="MAX=30",AA26,IF($O$6="MAX=40",AB26,"")))</f>
        <v/>
      </c>
      <c r="P26" s="259"/>
      <c r="Q26" s="239"/>
      <c r="R26" s="268"/>
      <c r="S26" s="288" t="str">
        <f t="shared" si="8"/>
        <v/>
      </c>
      <c r="T26" s="289" t="str">
        <f t="shared" si="9"/>
        <v/>
      </c>
      <c r="U26" s="290" t="str">
        <f t="shared" si="10"/>
        <v/>
      </c>
      <c r="V26" s="291" t="str">
        <f t="shared" si="11"/>
        <v/>
      </c>
      <c r="W26" s="292" t="str">
        <f t="shared" si="12"/>
        <v/>
      </c>
      <c r="X26" s="293" t="str">
        <f t="shared" si="13"/>
        <v/>
      </c>
      <c r="Y26" s="280"/>
      <c r="Z26" s="294" t="str">
        <f t="shared" si="14"/>
        <v/>
      </c>
      <c r="AA26" s="287" t="str">
        <f t="shared" si="15"/>
        <v/>
      </c>
      <c r="AB26" s="295" t="str">
        <f t="shared" si="16"/>
        <v/>
      </c>
    </row>
    <row r="27" spans="1:28" ht="14.25">
      <c r="A27" s="184"/>
      <c r="B27" s="255"/>
      <c r="C27" s="247"/>
      <c r="D27" s="260" t="str">
        <f t="shared" si="22"/>
        <v/>
      </c>
      <c r="E27" s="249"/>
      <c r="F27" s="249"/>
      <c r="G27" s="251"/>
      <c r="H27" s="202" t="str">
        <f>IFERROR(IF(G27-$Q$2&lt;=0,"",(G27-$Q$2)*86400),"")</f>
        <v/>
      </c>
      <c r="I27" s="206"/>
      <c r="J27" s="204"/>
      <c r="K27" s="207" t="str">
        <f>IFERROR(H27*(1+0.01*J27)-I27*$N$3,"")</f>
        <v/>
      </c>
      <c r="L27" s="205" t="str">
        <f>IFERROR((K27-$K$7)/86400,"")</f>
        <v/>
      </c>
      <c r="M27" s="208" t="str">
        <f>IFERROR((K27-$K$7)/$N$3,"")</f>
        <v/>
      </c>
      <c r="N27" s="209" t="str">
        <f>IFERROR($N$3/(H27/3600),"")</f>
        <v/>
      </c>
      <c r="O27" s="210"/>
      <c r="P27" s="261"/>
      <c r="Q27" s="256"/>
      <c r="R27" s="268"/>
      <c r="S27" s="288" t="str">
        <f t="shared" si="8"/>
        <v/>
      </c>
      <c r="T27" s="289" t="str">
        <f t="shared" si="9"/>
        <v/>
      </c>
      <c r="U27" s="290" t="str">
        <f t="shared" si="10"/>
        <v/>
      </c>
      <c r="V27" s="291" t="str">
        <f t="shared" si="11"/>
        <v/>
      </c>
      <c r="W27" s="292" t="str">
        <f t="shared" si="12"/>
        <v/>
      </c>
      <c r="X27" s="293" t="str">
        <f t="shared" si="13"/>
        <v/>
      </c>
      <c r="Y27" s="280"/>
      <c r="Z27" s="294" t="str">
        <f t="shared" si="14"/>
        <v/>
      </c>
      <c r="AA27" s="287" t="str">
        <f t="shared" si="15"/>
        <v/>
      </c>
      <c r="AB27" s="295" t="str">
        <f t="shared" si="16"/>
        <v/>
      </c>
    </row>
    <row r="28" spans="1:28" ht="14.25" customHeight="1">
      <c r="A28" s="184"/>
      <c r="B28" s="213"/>
      <c r="C28" s="214"/>
      <c r="D28" s="215" t="str">
        <f t="shared" si="22"/>
        <v/>
      </c>
      <c r="E28" s="216"/>
      <c r="F28" s="216"/>
      <c r="G28" s="217"/>
      <c r="H28" s="214"/>
      <c r="I28" s="218"/>
      <c r="J28" s="216"/>
      <c r="K28" s="219"/>
      <c r="L28" s="217"/>
      <c r="M28" s="220"/>
      <c r="N28" s="221"/>
      <c r="O28" s="222"/>
      <c r="P28" s="262"/>
      <c r="Q28" s="224"/>
      <c r="R28" s="268"/>
      <c r="S28" s="288" t="str">
        <f t="shared" si="8"/>
        <v/>
      </c>
      <c r="T28" s="289" t="str">
        <f t="shared" si="9"/>
        <v/>
      </c>
      <c r="U28" s="290" t="str">
        <f t="shared" si="10"/>
        <v/>
      </c>
      <c r="V28" s="291" t="str">
        <f t="shared" si="11"/>
        <v/>
      </c>
      <c r="W28" s="292" t="str">
        <f t="shared" si="12"/>
        <v/>
      </c>
      <c r="X28" s="293" t="str">
        <f t="shared" si="13"/>
        <v/>
      </c>
      <c r="Y28" s="280"/>
      <c r="Z28" s="294" t="str">
        <f t="shared" si="14"/>
        <v/>
      </c>
      <c r="AA28" s="287" t="str">
        <f t="shared" si="15"/>
        <v/>
      </c>
      <c r="AB28" s="295" t="str">
        <f t="shared" si="16"/>
        <v/>
      </c>
    </row>
    <row r="29" spans="1:28" ht="14.25">
      <c r="A29" s="184"/>
      <c r="B29" s="213"/>
      <c r="C29" s="214"/>
      <c r="D29" s="215" t="str">
        <f t="shared" si="22"/>
        <v/>
      </c>
      <c r="E29" s="216"/>
      <c r="F29" s="216"/>
      <c r="G29" s="217"/>
      <c r="H29" s="214"/>
      <c r="I29" s="218"/>
      <c r="J29" s="216"/>
      <c r="K29" s="219"/>
      <c r="L29" s="217"/>
      <c r="M29" s="220"/>
      <c r="N29" s="221"/>
      <c r="O29" s="222"/>
      <c r="P29" s="258"/>
      <c r="Q29" s="224"/>
      <c r="R29" s="268"/>
      <c r="S29" s="288" t="str">
        <f t="shared" si="8"/>
        <v/>
      </c>
      <c r="T29" s="289" t="str">
        <f t="shared" si="9"/>
        <v/>
      </c>
      <c r="U29" s="290" t="str">
        <f t="shared" si="10"/>
        <v/>
      </c>
      <c r="V29" s="291" t="str">
        <f t="shared" si="11"/>
        <v/>
      </c>
      <c r="W29" s="292" t="str">
        <f t="shared" si="12"/>
        <v/>
      </c>
      <c r="X29" s="293" t="str">
        <f t="shared" si="13"/>
        <v/>
      </c>
      <c r="Y29" s="280"/>
      <c r="Z29" s="294" t="str">
        <f t="shared" si="14"/>
        <v/>
      </c>
      <c r="AA29" s="287" t="str">
        <f t="shared" si="15"/>
        <v/>
      </c>
      <c r="AB29" s="295" t="str">
        <f t="shared" si="16"/>
        <v/>
      </c>
    </row>
    <row r="30" spans="1:28" ht="14.25" customHeight="1">
      <c r="A30" s="184"/>
      <c r="B30" s="213"/>
      <c r="C30" s="214"/>
      <c r="D30" s="215" t="str">
        <f t="shared" si="22"/>
        <v/>
      </c>
      <c r="E30" s="216"/>
      <c r="F30" s="216"/>
      <c r="G30" s="217"/>
      <c r="H30" s="214"/>
      <c r="I30" s="218"/>
      <c r="J30" s="216"/>
      <c r="K30" s="219"/>
      <c r="L30" s="217"/>
      <c r="M30" s="220"/>
      <c r="N30" s="221"/>
      <c r="O30" s="222"/>
      <c r="P30" s="258"/>
      <c r="Q30" s="224"/>
      <c r="R30" s="268"/>
      <c r="S30" s="288" t="str">
        <f t="shared" si="8"/>
        <v/>
      </c>
      <c r="T30" s="289" t="str">
        <f t="shared" si="9"/>
        <v/>
      </c>
      <c r="U30" s="290" t="str">
        <f t="shared" si="10"/>
        <v/>
      </c>
      <c r="V30" s="291" t="str">
        <f t="shared" si="11"/>
        <v/>
      </c>
      <c r="W30" s="292" t="str">
        <f t="shared" si="12"/>
        <v/>
      </c>
      <c r="X30" s="293" t="str">
        <f t="shared" si="13"/>
        <v/>
      </c>
      <c r="Y30" s="280"/>
      <c r="Z30" s="294" t="str">
        <f t="shared" si="14"/>
        <v/>
      </c>
      <c r="AA30" s="287" t="str">
        <f t="shared" si="15"/>
        <v/>
      </c>
      <c r="AB30" s="295" t="str">
        <f t="shared" si="16"/>
        <v/>
      </c>
    </row>
    <row r="31" spans="1:28" ht="15" thickBot="1">
      <c r="A31" s="184"/>
      <c r="B31" s="213"/>
      <c r="C31" s="214"/>
      <c r="D31" s="227" t="str">
        <f t="shared" si="22"/>
        <v/>
      </c>
      <c r="E31" s="228"/>
      <c r="F31" s="216"/>
      <c r="G31" s="217"/>
      <c r="H31" s="226" t="str">
        <f>IFERROR(IF(G31-$Q$2&lt;=0,"",(G31-$Q$2)*86400),"")</f>
        <v/>
      </c>
      <c r="I31" s="241" t="str">
        <f>IF($I$6="Ⅰ",V31,IF($I$6="Ⅱ",W31,IF($I$6="Ⅲ",X31,"")))</f>
        <v/>
      </c>
      <c r="J31" s="228"/>
      <c r="K31" s="243" t="str">
        <f>IFERROR(H31*(1+0.01*J31)-I31*$N$3,"")</f>
        <v/>
      </c>
      <c r="L31" s="229" t="str">
        <f>IFERROR((K31-$K$7)/86400,"")</f>
        <v/>
      </c>
      <c r="M31" s="244" t="str">
        <f>IFERROR((K31-$K$7)/$N$3,"")</f>
        <v/>
      </c>
      <c r="N31" s="245" t="str">
        <f>IFERROR($N$3/(H31/3600),"")</f>
        <v/>
      </c>
      <c r="O31" s="246" t="str">
        <f>IF($O$6="MAX=20",Z31,IF($O$6="MAX=30",AA31,IF($O$6="MAX=40",AB31,"")))</f>
        <v/>
      </c>
      <c r="P31" s="259"/>
      <c r="Q31" s="239"/>
      <c r="R31" s="268"/>
      <c r="S31" s="296" t="str">
        <f t="shared" si="8"/>
        <v/>
      </c>
      <c r="T31" s="297" t="str">
        <f t="shared" si="9"/>
        <v/>
      </c>
      <c r="U31" s="298" t="str">
        <f t="shared" si="10"/>
        <v/>
      </c>
      <c r="V31" s="299" t="str">
        <f t="shared" si="11"/>
        <v/>
      </c>
      <c r="W31" s="300" t="str">
        <f t="shared" si="12"/>
        <v/>
      </c>
      <c r="X31" s="301" t="str">
        <f t="shared" si="13"/>
        <v/>
      </c>
      <c r="Y31" s="280"/>
      <c r="Z31" s="310" t="str">
        <f t="shared" si="14"/>
        <v/>
      </c>
      <c r="AA31" s="311" t="str">
        <f t="shared" si="15"/>
        <v/>
      </c>
      <c r="AB31" s="312" t="str">
        <f t="shared" si="16"/>
        <v/>
      </c>
    </row>
    <row r="32" spans="1:28" ht="15" customHeight="1">
      <c r="A32" s="184"/>
      <c r="B32" s="475" t="s">
        <v>279</v>
      </c>
      <c r="C32" s="476"/>
      <c r="D32" s="477"/>
      <c r="E32" s="263" t="s">
        <v>184</v>
      </c>
      <c r="F32" s="509" t="s">
        <v>308</v>
      </c>
      <c r="G32" s="510"/>
      <c r="H32" s="500" t="s">
        <v>403</v>
      </c>
      <c r="I32" s="501"/>
      <c r="J32" s="501"/>
      <c r="K32" s="501"/>
      <c r="L32" s="501"/>
      <c r="M32" s="501"/>
      <c r="N32" s="501"/>
      <c r="O32" s="501"/>
      <c r="P32" s="501"/>
      <c r="Q32" s="502"/>
      <c r="R32" s="173"/>
      <c r="S32" s="275"/>
      <c r="T32" s="275"/>
      <c r="U32" s="275"/>
      <c r="X32" s="275"/>
      <c r="Y32" s="275"/>
    </row>
    <row r="33" spans="1:25" ht="15" customHeight="1">
      <c r="A33" s="184"/>
      <c r="B33" s="478"/>
      <c r="C33" s="479"/>
      <c r="D33" s="480"/>
      <c r="E33" s="264" t="s">
        <v>185</v>
      </c>
      <c r="F33" s="473"/>
      <c r="G33" s="474"/>
      <c r="H33" s="503"/>
      <c r="I33" s="504"/>
      <c r="J33" s="504"/>
      <c r="K33" s="504"/>
      <c r="L33" s="504"/>
      <c r="M33" s="504"/>
      <c r="N33" s="504"/>
      <c r="O33" s="504"/>
      <c r="P33" s="504"/>
      <c r="Q33" s="505"/>
      <c r="R33" s="173"/>
      <c r="S33" s="275"/>
      <c r="T33" s="275"/>
      <c r="U33" s="275"/>
      <c r="X33" s="275"/>
      <c r="Y33" s="275"/>
    </row>
    <row r="34" spans="1:25" ht="23.25" customHeight="1">
      <c r="A34" s="184"/>
      <c r="B34" s="481"/>
      <c r="C34" s="482"/>
      <c r="D34" s="483"/>
      <c r="E34" s="264" t="s">
        <v>186</v>
      </c>
      <c r="F34" s="473"/>
      <c r="G34" s="474"/>
      <c r="H34" s="503"/>
      <c r="I34" s="504"/>
      <c r="J34" s="504"/>
      <c r="K34" s="504"/>
      <c r="L34" s="504"/>
      <c r="M34" s="504"/>
      <c r="N34" s="504"/>
      <c r="O34" s="504"/>
      <c r="P34" s="504"/>
      <c r="Q34" s="505"/>
      <c r="R34" s="173"/>
      <c r="S34" s="275"/>
      <c r="T34" s="275"/>
      <c r="U34" s="275"/>
      <c r="X34" s="275"/>
      <c r="Y34" s="275"/>
    </row>
    <row r="35" spans="1:25" ht="22.5" customHeight="1">
      <c r="A35" s="184"/>
      <c r="B35" s="484" t="s">
        <v>271</v>
      </c>
      <c r="C35" s="485"/>
      <c r="D35" s="486"/>
      <c r="E35" s="493" t="s">
        <v>188</v>
      </c>
      <c r="F35" s="473" t="str">
        <f>参照ﾃﾞｰﾀ!AL9</f>
        <v>ケロニア</v>
      </c>
      <c r="G35" s="474"/>
      <c r="H35" s="503"/>
      <c r="I35" s="504"/>
      <c r="J35" s="504"/>
      <c r="K35" s="504"/>
      <c r="L35" s="504"/>
      <c r="M35" s="504"/>
      <c r="N35" s="504"/>
      <c r="O35" s="504"/>
      <c r="P35" s="504"/>
      <c r="Q35" s="505"/>
      <c r="R35" s="173"/>
      <c r="S35" s="275"/>
      <c r="T35" s="275"/>
      <c r="U35" s="275"/>
      <c r="X35" s="275"/>
      <c r="Y35" s="275"/>
    </row>
    <row r="36" spans="1:25" ht="15" customHeight="1">
      <c r="A36" s="184"/>
      <c r="B36" s="487"/>
      <c r="C36" s="488"/>
      <c r="D36" s="489"/>
      <c r="E36" s="494"/>
      <c r="F36" s="473"/>
      <c r="G36" s="474"/>
      <c r="H36" s="503"/>
      <c r="I36" s="504"/>
      <c r="J36" s="504"/>
      <c r="K36" s="504"/>
      <c r="L36" s="504"/>
      <c r="M36" s="504"/>
      <c r="N36" s="504"/>
      <c r="O36" s="504"/>
      <c r="P36" s="504"/>
      <c r="Q36" s="505"/>
      <c r="R36" s="173"/>
      <c r="S36" s="275"/>
      <c r="T36" s="275"/>
      <c r="U36" s="275"/>
      <c r="X36" s="275"/>
      <c r="Y36" s="275"/>
    </row>
    <row r="37" spans="1:25" ht="15" customHeight="1">
      <c r="A37" s="184"/>
      <c r="B37" s="487"/>
      <c r="C37" s="488"/>
      <c r="D37" s="489"/>
      <c r="E37" s="263" t="s">
        <v>187</v>
      </c>
      <c r="F37" s="511">
        <v>43667</v>
      </c>
      <c r="G37" s="510"/>
      <c r="H37" s="503"/>
      <c r="I37" s="504"/>
      <c r="J37" s="504"/>
      <c r="K37" s="504"/>
      <c r="L37" s="504"/>
      <c r="M37" s="504"/>
      <c r="N37" s="504"/>
      <c r="O37" s="504"/>
      <c r="P37" s="504"/>
      <c r="Q37" s="505"/>
      <c r="R37" s="173"/>
      <c r="S37" s="275"/>
      <c r="T37" s="275"/>
      <c r="U37" s="275"/>
      <c r="X37" s="275"/>
      <c r="Y37" s="275"/>
    </row>
    <row r="38" spans="1:25" ht="15" customHeight="1">
      <c r="A38" s="184"/>
      <c r="B38" s="487"/>
      <c r="C38" s="488"/>
      <c r="D38" s="489"/>
      <c r="E38" s="264" t="s">
        <v>201</v>
      </c>
      <c r="F38" s="473" t="s">
        <v>310</v>
      </c>
      <c r="G38" s="474"/>
      <c r="H38" s="503"/>
      <c r="I38" s="504"/>
      <c r="J38" s="504"/>
      <c r="K38" s="504"/>
      <c r="L38" s="504"/>
      <c r="M38" s="504"/>
      <c r="N38" s="504"/>
      <c r="O38" s="504"/>
      <c r="P38" s="504"/>
      <c r="Q38" s="505"/>
      <c r="R38" s="173"/>
      <c r="S38" s="275"/>
      <c r="T38" s="275"/>
      <c r="U38" s="275"/>
      <c r="X38" s="275"/>
      <c r="Y38" s="275"/>
    </row>
    <row r="39" spans="1:25" ht="15" customHeight="1">
      <c r="A39" s="184"/>
      <c r="B39" s="487"/>
      <c r="C39" s="488"/>
      <c r="D39" s="489"/>
      <c r="E39" s="493" t="s">
        <v>188</v>
      </c>
      <c r="F39" s="473" t="str">
        <f>参照ﾃﾞｰﾀ!AL10</f>
        <v>飛車角</v>
      </c>
      <c r="G39" s="474"/>
      <c r="H39" s="503"/>
      <c r="I39" s="504"/>
      <c r="J39" s="504"/>
      <c r="K39" s="504"/>
      <c r="L39" s="504"/>
      <c r="M39" s="504"/>
      <c r="N39" s="504"/>
      <c r="O39" s="504"/>
      <c r="P39" s="504"/>
      <c r="Q39" s="505"/>
      <c r="R39" s="173"/>
      <c r="S39" s="275"/>
      <c r="T39" s="275"/>
      <c r="U39" s="275"/>
      <c r="X39" s="275"/>
      <c r="Y39" s="275"/>
    </row>
    <row r="40" spans="1:25" ht="15" customHeight="1">
      <c r="A40" s="184"/>
      <c r="B40" s="487"/>
      <c r="C40" s="488"/>
      <c r="D40" s="489"/>
      <c r="E40" s="493"/>
      <c r="F40" s="473">
        <f>参照ﾃﾞｰﾀ!AM9</f>
        <v>0</v>
      </c>
      <c r="G40" s="474"/>
      <c r="H40" s="503"/>
      <c r="I40" s="504"/>
      <c r="J40" s="504"/>
      <c r="K40" s="504"/>
      <c r="L40" s="504"/>
      <c r="M40" s="504"/>
      <c r="N40" s="504"/>
      <c r="O40" s="504"/>
      <c r="P40" s="504"/>
      <c r="Q40" s="505"/>
      <c r="R40" s="173"/>
      <c r="S40" s="275"/>
      <c r="T40" s="275"/>
      <c r="U40" s="275"/>
      <c r="X40" s="275"/>
      <c r="Y40" s="275"/>
    </row>
    <row r="41" spans="1:25" ht="11.25" customHeight="1" thickBot="1">
      <c r="A41" s="184"/>
      <c r="B41" s="490"/>
      <c r="C41" s="491"/>
      <c r="D41" s="492"/>
      <c r="E41" s="265"/>
      <c r="F41" s="495"/>
      <c r="G41" s="496"/>
      <c r="H41" s="506"/>
      <c r="I41" s="507"/>
      <c r="J41" s="507"/>
      <c r="K41" s="507"/>
      <c r="L41" s="507"/>
      <c r="M41" s="507"/>
      <c r="N41" s="507"/>
      <c r="O41" s="507"/>
      <c r="P41" s="507"/>
      <c r="Q41" s="508"/>
      <c r="R41" s="173"/>
      <c r="S41" s="275"/>
      <c r="T41" s="275"/>
      <c r="U41" s="275"/>
      <c r="V41" s="275"/>
      <c r="W41" s="275"/>
      <c r="X41" s="275"/>
      <c r="Y41" s="275"/>
    </row>
    <row r="42" spans="1:25">
      <c r="A42" s="184"/>
      <c r="B42" s="184"/>
      <c r="C42" s="184"/>
      <c r="D42" s="184"/>
      <c r="E42" s="184"/>
      <c r="F42" s="184"/>
      <c r="G42" s="184"/>
      <c r="H42" s="184"/>
      <c r="I42" s="184"/>
      <c r="J42" s="184"/>
      <c r="K42" s="184"/>
      <c r="L42" s="184"/>
      <c r="M42" s="184"/>
      <c r="N42" s="184"/>
      <c r="O42" s="184"/>
      <c r="P42" s="184"/>
      <c r="Q42" s="184"/>
      <c r="R42" s="184"/>
    </row>
  </sheetData>
  <sortState ref="C7:K20">
    <sortCondition ref="K7:K20"/>
  </sortState>
  <mergeCells count="19">
    <mergeCell ref="F37:G37"/>
    <mergeCell ref="F38:G38"/>
    <mergeCell ref="F39:G39"/>
    <mergeCell ref="E39:E40"/>
    <mergeCell ref="D2:F2"/>
    <mergeCell ref="E3:I3"/>
    <mergeCell ref="J3:K3"/>
    <mergeCell ref="P5:Q5"/>
    <mergeCell ref="B32:D34"/>
    <mergeCell ref="F32:G32"/>
    <mergeCell ref="H32:Q41"/>
    <mergeCell ref="F33:G33"/>
    <mergeCell ref="F34:G34"/>
    <mergeCell ref="B35:D41"/>
    <mergeCell ref="F40:G40"/>
    <mergeCell ref="F41:G41"/>
    <mergeCell ref="E35:E36"/>
    <mergeCell ref="F35:G35"/>
    <mergeCell ref="F36:G36"/>
  </mergeCells>
  <phoneticPr fontId="42"/>
  <dataValidations count="8">
    <dataValidation type="list" allowBlank="1" showInputMessage="1" showErrorMessage="1" sqref="P2 F37:G37">
      <formula1>開催日</formula1>
    </dataValidation>
    <dataValidation type="list" allowBlank="1" showInputMessage="1" showErrorMessage="1" sqref="Q2">
      <formula1>時刻</formula1>
    </dataValidation>
    <dataValidation type="list" allowBlank="1" showInputMessage="1" showErrorMessage="1" sqref="J3:K3">
      <formula1>暫定</formula1>
    </dataValidation>
    <dataValidation type="list" allowBlank="1" showInputMessage="1" showErrorMessage="1" sqref="G2">
      <formula1>月</formula1>
    </dataValidation>
    <dataValidation type="list" allowBlank="1" showInputMessage="1" showErrorMessage="1" sqref="N2 F38:G38">
      <formula1>コース</formula1>
    </dataValidation>
    <dataValidation type="list" showInputMessage="1" showErrorMessage="1" sqref="E3">
      <formula1>レース名</formula1>
    </dataValidation>
    <dataValidation type="list" allowBlank="1" showInputMessage="1" showErrorMessage="1" sqref="I6">
      <formula1>ＴＡ</formula1>
    </dataValidation>
    <dataValidation type="list" allowBlank="1" showInputMessage="1" showErrorMessage="1" sqref="D3">
      <formula1>レース番号</formula1>
    </dataValidation>
  </dataValidations>
  <pageMargins left="0.31496062992125984" right="0" top="0.35433070866141736" bottom="0.19685039370078741" header="0" footer="0"/>
  <pageSetup paperSize="9" orientation="landscape" horizontalDpi="4294967293"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49"/>
  <sheetViews>
    <sheetView tabSelected="1" view="pageBreakPreview" topLeftCell="A2" zoomScale="85" zoomScaleNormal="100" zoomScaleSheetLayoutView="85" workbookViewId="0">
      <selection activeCell="M15" sqref="M15"/>
    </sheetView>
  </sheetViews>
  <sheetFormatPr defaultRowHeight="13.5"/>
  <cols>
    <col min="1" max="1" width="3" style="274" customWidth="1"/>
    <col min="2" max="2" width="4.25" style="274" customWidth="1"/>
    <col min="3" max="3" width="7.25" style="274" customWidth="1"/>
    <col min="4" max="4" width="16.25" style="274" customWidth="1"/>
    <col min="5" max="10" width="7.875" style="274" customWidth="1"/>
    <col min="11" max="11" width="7.5" style="274" customWidth="1"/>
    <col min="12" max="13" width="3.125" style="274" customWidth="1"/>
    <col min="14" max="14" width="7.75" style="274" customWidth="1"/>
    <col min="15" max="15" width="12.625" style="274" customWidth="1"/>
    <col min="16" max="16" width="6.625" style="274" customWidth="1"/>
    <col min="17" max="17" width="7.375" style="274" customWidth="1"/>
    <col min="18" max="18" width="15.5" style="274" customWidth="1"/>
    <col min="19" max="20" width="9" style="274"/>
    <col min="21" max="21" width="16.375" style="274" customWidth="1"/>
    <col min="22" max="23" width="9" style="274"/>
    <col min="24" max="24" width="3" style="274" customWidth="1"/>
    <col min="25" max="25" width="4.25" style="274" customWidth="1"/>
    <col min="26" max="26" width="7.25" style="274" customWidth="1"/>
    <col min="27" max="27" width="16.25" style="274" customWidth="1"/>
    <col min="28" max="33" width="7.875" style="274" customWidth="1"/>
    <col min="34" max="34" width="7.5" style="274" customWidth="1"/>
    <col min="35" max="36" width="3.125" style="274" customWidth="1"/>
    <col min="37" max="37" width="7.75" style="274" customWidth="1"/>
    <col min="38" max="16384" width="9" style="274"/>
  </cols>
  <sheetData>
    <row r="1" spans="2:37" s="284" customFormat="1" ht="19.5" customHeight="1">
      <c r="B1" s="528" t="s">
        <v>311</v>
      </c>
      <c r="C1" s="528"/>
      <c r="D1" s="528"/>
      <c r="E1" s="528"/>
      <c r="F1" s="528"/>
      <c r="G1" s="528"/>
      <c r="H1" s="528"/>
      <c r="I1" s="528"/>
      <c r="J1" s="528"/>
      <c r="K1" s="528"/>
      <c r="L1" s="528"/>
      <c r="M1" s="528"/>
      <c r="N1" s="338"/>
      <c r="O1" s="339"/>
      <c r="Y1" s="528" t="s">
        <v>311</v>
      </c>
      <c r="Z1" s="528"/>
      <c r="AA1" s="528"/>
      <c r="AB1" s="528"/>
      <c r="AC1" s="528"/>
      <c r="AD1" s="528"/>
      <c r="AE1" s="528"/>
      <c r="AF1" s="528"/>
      <c r="AG1" s="528"/>
      <c r="AH1" s="528"/>
      <c r="AI1" s="528"/>
      <c r="AJ1" s="528"/>
      <c r="AK1" s="338"/>
    </row>
    <row r="2" spans="2:37" s="342" customFormat="1" ht="23.25" customHeight="1">
      <c r="B2" s="529" t="s">
        <v>207</v>
      </c>
      <c r="C2" s="529"/>
      <c r="D2" s="529"/>
      <c r="E2" s="529"/>
      <c r="F2" s="529"/>
      <c r="G2" s="529"/>
      <c r="H2" s="529"/>
      <c r="I2" s="529"/>
      <c r="J2" s="529"/>
      <c r="K2" s="529"/>
      <c r="L2" s="529"/>
      <c r="M2" s="529"/>
      <c r="N2" s="340"/>
      <c r="O2" s="341"/>
      <c r="P2" s="529" t="s">
        <v>286</v>
      </c>
      <c r="Q2" s="529"/>
      <c r="R2" s="529"/>
      <c r="S2" s="529"/>
      <c r="T2" s="529"/>
      <c r="U2" s="529"/>
      <c r="V2" s="341"/>
      <c r="W2" s="341"/>
      <c r="Y2" s="529" t="s">
        <v>207</v>
      </c>
      <c r="Z2" s="529"/>
      <c r="AA2" s="529"/>
      <c r="AB2" s="529"/>
      <c r="AC2" s="529"/>
      <c r="AD2" s="529"/>
      <c r="AE2" s="529"/>
      <c r="AF2" s="529"/>
      <c r="AG2" s="529"/>
      <c r="AH2" s="529"/>
      <c r="AI2" s="529"/>
      <c r="AJ2" s="529"/>
      <c r="AK2" s="340"/>
    </row>
    <row r="3" spans="2:37" s="284" customFormat="1" ht="21" customHeight="1" thickBot="1">
      <c r="C3" s="280"/>
      <c r="J3" s="575">
        <v>43647</v>
      </c>
      <c r="K3" s="530"/>
      <c r="L3" s="530"/>
      <c r="M3" s="530"/>
      <c r="N3" s="343"/>
      <c r="O3" s="344"/>
      <c r="P3" s="345"/>
      <c r="Z3" s="280"/>
      <c r="AG3" s="530" t="s">
        <v>312</v>
      </c>
      <c r="AH3" s="530"/>
      <c r="AI3" s="530"/>
      <c r="AJ3" s="530"/>
      <c r="AK3" s="343"/>
    </row>
    <row r="4" spans="2:37" s="284" customFormat="1" ht="13.5" customHeight="1">
      <c r="B4" s="549" t="s">
        <v>3</v>
      </c>
      <c r="C4" s="551" t="s">
        <v>89</v>
      </c>
      <c r="D4" s="553" t="s">
        <v>90</v>
      </c>
      <c r="E4" s="346" t="s">
        <v>245</v>
      </c>
      <c r="F4" s="346" t="s">
        <v>246</v>
      </c>
      <c r="G4" s="346" t="s">
        <v>247</v>
      </c>
      <c r="H4" s="346" t="s">
        <v>248</v>
      </c>
      <c r="I4" s="346" t="s">
        <v>249</v>
      </c>
      <c r="J4" s="346" t="s">
        <v>250</v>
      </c>
      <c r="K4" s="555" t="s">
        <v>91</v>
      </c>
      <c r="L4" s="557" t="s">
        <v>92</v>
      </c>
      <c r="M4" s="559" t="s">
        <v>93</v>
      </c>
      <c r="N4" s="347"/>
      <c r="O4" s="344"/>
      <c r="P4" s="348"/>
      <c r="Q4" s="349" t="s">
        <v>313</v>
      </c>
      <c r="R4" s="348"/>
      <c r="S4" s="348"/>
      <c r="Y4" s="531" t="s">
        <v>3</v>
      </c>
      <c r="Z4" s="534" t="s">
        <v>89</v>
      </c>
      <c r="AA4" s="537" t="s">
        <v>90</v>
      </c>
      <c r="AB4" s="346" t="s">
        <v>245</v>
      </c>
      <c r="AC4" s="346" t="s">
        <v>246</v>
      </c>
      <c r="AD4" s="346" t="s">
        <v>247</v>
      </c>
      <c r="AE4" s="346" t="s">
        <v>248</v>
      </c>
      <c r="AF4" s="346" t="s">
        <v>249</v>
      </c>
      <c r="AG4" s="346" t="s">
        <v>250</v>
      </c>
      <c r="AH4" s="540" t="s">
        <v>91</v>
      </c>
      <c r="AI4" s="543" t="s">
        <v>215</v>
      </c>
      <c r="AJ4" s="546" t="s">
        <v>216</v>
      </c>
      <c r="AK4" s="350" t="s">
        <v>167</v>
      </c>
    </row>
    <row r="5" spans="2:37" s="284" customFormat="1" ht="13.5" customHeight="1">
      <c r="B5" s="550"/>
      <c r="C5" s="552"/>
      <c r="D5" s="554"/>
      <c r="E5" s="351">
        <v>43485</v>
      </c>
      <c r="F5" s="351">
        <v>43513</v>
      </c>
      <c r="G5" s="351">
        <v>43541</v>
      </c>
      <c r="H5" s="351">
        <v>43211</v>
      </c>
      <c r="I5" s="351">
        <v>43239</v>
      </c>
      <c r="J5" s="351">
        <v>43632</v>
      </c>
      <c r="K5" s="556"/>
      <c r="L5" s="558"/>
      <c r="M5" s="560"/>
      <c r="N5" s="352"/>
      <c r="O5" s="344"/>
      <c r="P5" s="348"/>
      <c r="Q5" s="348"/>
      <c r="R5" s="348"/>
      <c r="S5" s="348" t="s">
        <v>163</v>
      </c>
      <c r="T5" s="284" t="s">
        <v>164</v>
      </c>
      <c r="Y5" s="532"/>
      <c r="Z5" s="535"/>
      <c r="AA5" s="538"/>
      <c r="AB5" s="351">
        <v>42750</v>
      </c>
      <c r="AC5" s="351">
        <v>42787</v>
      </c>
      <c r="AD5" s="351">
        <v>42813</v>
      </c>
      <c r="AE5" s="351">
        <v>42841</v>
      </c>
      <c r="AF5" s="351">
        <v>42876</v>
      </c>
      <c r="AG5" s="351">
        <v>42904</v>
      </c>
      <c r="AH5" s="541"/>
      <c r="AI5" s="544"/>
      <c r="AJ5" s="547"/>
      <c r="AK5" s="353">
        <v>42617</v>
      </c>
    </row>
    <row r="6" spans="2:37" s="360" customFormat="1" ht="28.5">
      <c r="B6" s="550"/>
      <c r="C6" s="552"/>
      <c r="D6" s="554"/>
      <c r="E6" s="354" t="s">
        <v>243</v>
      </c>
      <c r="F6" s="354" t="s">
        <v>74</v>
      </c>
      <c r="G6" s="354" t="s">
        <v>240</v>
      </c>
      <c r="H6" s="354" t="s">
        <v>309</v>
      </c>
      <c r="I6" s="354" t="s">
        <v>47</v>
      </c>
      <c r="J6" s="354" t="s">
        <v>74</v>
      </c>
      <c r="K6" s="556"/>
      <c r="L6" s="558"/>
      <c r="M6" s="560"/>
      <c r="N6" s="355"/>
      <c r="O6" s="356"/>
      <c r="P6" s="357" t="s">
        <v>3</v>
      </c>
      <c r="Q6" s="358" t="s">
        <v>89</v>
      </c>
      <c r="R6" s="359" t="s">
        <v>90</v>
      </c>
      <c r="S6" s="359" t="s">
        <v>91</v>
      </c>
      <c r="T6" s="359" t="s">
        <v>165</v>
      </c>
      <c r="U6" s="359" t="s">
        <v>166</v>
      </c>
      <c r="Y6" s="533"/>
      <c r="Z6" s="536"/>
      <c r="AA6" s="539"/>
      <c r="AB6" s="354" t="s">
        <v>218</v>
      </c>
      <c r="AC6" s="354" t="s">
        <v>74</v>
      </c>
      <c r="AD6" s="354" t="s">
        <v>74</v>
      </c>
      <c r="AE6" s="354" t="s">
        <v>74</v>
      </c>
      <c r="AF6" s="354" t="s">
        <v>47</v>
      </c>
      <c r="AG6" s="354" t="s">
        <v>74</v>
      </c>
      <c r="AH6" s="542"/>
      <c r="AI6" s="545"/>
      <c r="AJ6" s="548"/>
      <c r="AK6" s="361" t="s">
        <v>147</v>
      </c>
    </row>
    <row r="7" spans="2:37" s="284" customFormat="1" ht="14.25">
      <c r="B7" s="362" t="s">
        <v>122</v>
      </c>
      <c r="C7" s="202">
        <v>150</v>
      </c>
      <c r="D7" s="328" t="str">
        <f t="shared" ref="D7:D30" si="0">IF(ISBLANK(C7),"",VLOOKUP(C7,各艇データ,2,FALSE))</f>
        <v>SHARK X</v>
      </c>
      <c r="E7" s="363">
        <v>18.8</v>
      </c>
      <c r="F7" s="363">
        <v>16.5</v>
      </c>
      <c r="G7" s="363">
        <v>27.9</v>
      </c>
      <c r="H7" s="363">
        <v>20</v>
      </c>
      <c r="I7" s="363">
        <v>36.700000000000003</v>
      </c>
      <c r="J7" s="363"/>
      <c r="K7" s="365">
        <f t="shared" ref="K7:K30" si="1">SUM(E7:J7)</f>
        <v>119.89999999999999</v>
      </c>
      <c r="L7" s="366" t="s">
        <v>404</v>
      </c>
      <c r="M7" s="366" t="s">
        <v>404</v>
      </c>
      <c r="N7" s="367"/>
      <c r="O7" s="368"/>
      <c r="P7" s="369" t="s">
        <v>94</v>
      </c>
      <c r="Q7" s="327"/>
      <c r="R7" s="328"/>
      <c r="S7" s="370"/>
      <c r="T7" s="370"/>
      <c r="U7" s="370">
        <f t="shared" ref="U7:U33" si="2">SUM(S7:T7)</f>
        <v>0</v>
      </c>
      <c r="Y7" s="362" t="s">
        <v>94</v>
      </c>
      <c r="Z7" s="327"/>
      <c r="AA7" s="328"/>
      <c r="AB7" s="363"/>
      <c r="AC7" s="363"/>
      <c r="AD7" s="364"/>
      <c r="AE7" s="364"/>
      <c r="AF7" s="364"/>
      <c r="AG7" s="363"/>
      <c r="AH7" s="365"/>
      <c r="AI7" s="366"/>
      <c r="AJ7" s="366"/>
      <c r="AK7" s="367"/>
    </row>
    <row r="8" spans="2:37" s="284" customFormat="1" ht="14.25">
      <c r="B8" s="371" t="s">
        <v>95</v>
      </c>
      <c r="C8" s="214">
        <v>5752</v>
      </c>
      <c r="D8" s="330" t="str">
        <f t="shared" si="0"/>
        <v>アルファ</v>
      </c>
      <c r="E8" s="372">
        <v>17.5</v>
      </c>
      <c r="F8" s="372">
        <v>18.8</v>
      </c>
      <c r="G8" s="372">
        <v>23.6</v>
      </c>
      <c r="H8" s="372">
        <v>18.600000000000001</v>
      </c>
      <c r="I8" s="372">
        <v>40</v>
      </c>
      <c r="J8" s="372"/>
      <c r="K8" s="373">
        <f t="shared" si="1"/>
        <v>118.5</v>
      </c>
      <c r="L8" s="374" t="s">
        <v>404</v>
      </c>
      <c r="M8" s="374" t="s">
        <v>404</v>
      </c>
      <c r="N8" s="375"/>
      <c r="O8" s="376"/>
      <c r="P8" s="377" t="s">
        <v>95</v>
      </c>
      <c r="Q8" s="329"/>
      <c r="R8" s="330"/>
      <c r="S8" s="370"/>
      <c r="T8" s="370"/>
      <c r="U8" s="370">
        <f t="shared" si="2"/>
        <v>0</v>
      </c>
      <c r="Y8" s="371" t="s">
        <v>95</v>
      </c>
      <c r="Z8" s="329"/>
      <c r="AA8" s="330"/>
      <c r="AB8" s="372"/>
      <c r="AC8" s="372"/>
      <c r="AD8" s="372"/>
      <c r="AE8" s="378"/>
      <c r="AF8" s="372"/>
      <c r="AG8" s="372"/>
      <c r="AH8" s="373"/>
      <c r="AI8" s="374"/>
      <c r="AJ8" s="374"/>
      <c r="AK8" s="375"/>
    </row>
    <row r="9" spans="2:37" s="284" customFormat="1" ht="14.25">
      <c r="B9" s="371" t="s">
        <v>96</v>
      </c>
      <c r="C9" s="214">
        <v>321</v>
      </c>
      <c r="D9" s="330" t="str">
        <f t="shared" si="0"/>
        <v>かまくら</v>
      </c>
      <c r="E9" s="372">
        <v>16.3</v>
      </c>
      <c r="F9" s="372">
        <v>9.4</v>
      </c>
      <c r="G9" s="372">
        <v>19.3</v>
      </c>
      <c r="H9" s="372">
        <v>11.4</v>
      </c>
      <c r="I9" s="372">
        <v>33.299999999999997</v>
      </c>
      <c r="J9" s="372"/>
      <c r="K9" s="373">
        <f t="shared" si="1"/>
        <v>89.699999999999989</v>
      </c>
      <c r="L9" s="374" t="s">
        <v>404</v>
      </c>
      <c r="M9" s="374" t="s">
        <v>404</v>
      </c>
      <c r="N9" s="375"/>
      <c r="O9" s="368"/>
      <c r="P9" s="377" t="s">
        <v>96</v>
      </c>
      <c r="Q9" s="329"/>
      <c r="R9" s="330"/>
      <c r="S9" s="370"/>
      <c r="T9" s="370"/>
      <c r="U9" s="370">
        <f t="shared" si="2"/>
        <v>0</v>
      </c>
      <c r="Y9" s="371" t="s">
        <v>96</v>
      </c>
      <c r="Z9" s="329"/>
      <c r="AA9" s="330"/>
      <c r="AB9" s="380"/>
      <c r="AC9" s="372"/>
      <c r="AD9" s="381"/>
      <c r="AE9" s="373"/>
      <c r="AF9" s="380"/>
      <c r="AG9" s="372"/>
      <c r="AH9" s="373"/>
      <c r="AI9" s="374"/>
      <c r="AJ9" s="374"/>
      <c r="AK9" s="375"/>
    </row>
    <row r="10" spans="2:37" s="284" customFormat="1" ht="14.25">
      <c r="B10" s="371" t="s">
        <v>97</v>
      </c>
      <c r="C10" s="214">
        <v>6732</v>
      </c>
      <c r="D10" s="330" t="str">
        <f t="shared" si="0"/>
        <v>アイデアル</v>
      </c>
      <c r="E10" s="372">
        <v>7.5</v>
      </c>
      <c r="F10" s="372">
        <v>17.600000000000001</v>
      </c>
      <c r="G10" s="372">
        <v>21.4</v>
      </c>
      <c r="H10" s="372">
        <v>14.3</v>
      </c>
      <c r="I10" s="372">
        <v>20</v>
      </c>
      <c r="J10" s="372"/>
      <c r="K10" s="373">
        <f t="shared" si="1"/>
        <v>80.8</v>
      </c>
      <c r="L10" s="374" t="s">
        <v>404</v>
      </c>
      <c r="M10" s="374" t="s">
        <v>404</v>
      </c>
      <c r="N10" s="375"/>
      <c r="O10" s="368"/>
      <c r="P10" s="377" t="s">
        <v>97</v>
      </c>
      <c r="Q10" s="329"/>
      <c r="R10" s="330"/>
      <c r="S10" s="370"/>
      <c r="T10" s="370"/>
      <c r="U10" s="370">
        <f t="shared" si="2"/>
        <v>0</v>
      </c>
      <c r="Y10" s="371" t="s">
        <v>97</v>
      </c>
      <c r="Z10" s="329"/>
      <c r="AA10" s="330"/>
      <c r="AB10" s="372"/>
      <c r="AC10" s="372"/>
      <c r="AD10" s="372"/>
      <c r="AE10" s="372"/>
      <c r="AF10" s="372"/>
      <c r="AG10" s="372"/>
      <c r="AH10" s="373"/>
      <c r="AI10" s="374"/>
      <c r="AJ10" s="374"/>
      <c r="AK10" s="375"/>
    </row>
    <row r="11" spans="2:37" s="284" customFormat="1" ht="14.25">
      <c r="B11" s="382" t="s">
        <v>123</v>
      </c>
      <c r="C11" s="226">
        <v>1733</v>
      </c>
      <c r="D11" s="330" t="str">
        <f t="shared" si="0"/>
        <v>ケロニア</v>
      </c>
      <c r="E11" s="391">
        <v>13.8</v>
      </c>
      <c r="F11" s="384">
        <v>10.6</v>
      </c>
      <c r="G11" s="384">
        <v>10.7</v>
      </c>
      <c r="H11" s="384">
        <v>15.7</v>
      </c>
      <c r="I11" s="384">
        <v>26.7</v>
      </c>
      <c r="J11" s="384"/>
      <c r="K11" s="386">
        <f t="shared" si="1"/>
        <v>77.5</v>
      </c>
      <c r="L11" s="387" t="s">
        <v>404</v>
      </c>
      <c r="M11" s="387" t="s">
        <v>404</v>
      </c>
      <c r="N11" s="388"/>
      <c r="O11" s="368"/>
      <c r="P11" s="389" t="s">
        <v>98</v>
      </c>
      <c r="Q11" s="331"/>
      <c r="R11" s="383"/>
      <c r="S11" s="390"/>
      <c r="T11" s="390"/>
      <c r="U11" s="390">
        <f t="shared" si="2"/>
        <v>0</v>
      </c>
      <c r="Y11" s="382" t="s">
        <v>98</v>
      </c>
      <c r="Z11" s="331"/>
      <c r="AA11" s="383"/>
      <c r="AB11" s="391"/>
      <c r="AC11" s="384"/>
      <c r="AD11" s="392"/>
      <c r="AE11" s="384"/>
      <c r="AF11" s="384"/>
      <c r="AG11" s="384"/>
      <c r="AH11" s="386"/>
      <c r="AI11" s="387"/>
      <c r="AJ11" s="387"/>
      <c r="AK11" s="388"/>
    </row>
    <row r="12" spans="2:37" s="284" customFormat="1" ht="14.25">
      <c r="B12" s="362" t="s">
        <v>99</v>
      </c>
      <c r="C12" s="202">
        <v>1611</v>
      </c>
      <c r="D12" s="328" t="str">
        <f t="shared" si="0"/>
        <v>ﾈﾌﾟﾁｭｰﾝXⅡ</v>
      </c>
      <c r="E12" s="363">
        <v>1</v>
      </c>
      <c r="F12" s="363">
        <v>14.1</v>
      </c>
      <c r="G12" s="363">
        <v>15</v>
      </c>
      <c r="H12" s="363">
        <v>17.100000000000001</v>
      </c>
      <c r="I12" s="363">
        <v>23.3</v>
      </c>
      <c r="J12" s="363"/>
      <c r="K12" s="394">
        <f t="shared" si="1"/>
        <v>70.5</v>
      </c>
      <c r="L12" s="366" t="s">
        <v>404</v>
      </c>
      <c r="M12" s="395" t="s">
        <v>404</v>
      </c>
      <c r="N12" s="396"/>
      <c r="O12" s="368"/>
      <c r="P12" s="369" t="s">
        <v>99</v>
      </c>
      <c r="Q12" s="327"/>
      <c r="R12" s="328"/>
      <c r="S12" s="397"/>
      <c r="T12" s="397"/>
      <c r="U12" s="397">
        <f t="shared" si="2"/>
        <v>0</v>
      </c>
      <c r="Y12" s="362" t="s">
        <v>99</v>
      </c>
      <c r="Z12" s="327"/>
      <c r="AA12" s="328"/>
      <c r="AB12" s="363"/>
      <c r="AC12" s="363"/>
      <c r="AD12" s="398"/>
      <c r="AE12" s="363"/>
      <c r="AF12" s="363"/>
      <c r="AG12" s="363"/>
      <c r="AH12" s="394"/>
      <c r="AI12" s="395"/>
      <c r="AJ12" s="395"/>
      <c r="AK12" s="396"/>
    </row>
    <row r="13" spans="2:37" s="284" customFormat="1" ht="14.25">
      <c r="B13" s="371" t="s">
        <v>100</v>
      </c>
      <c r="C13" s="240">
        <v>380</v>
      </c>
      <c r="D13" s="330" t="str">
        <f t="shared" si="0"/>
        <v>テティス</v>
      </c>
      <c r="E13" s="372">
        <v>11.3</v>
      </c>
      <c r="F13" s="372">
        <v>1</v>
      </c>
      <c r="G13" s="372">
        <v>25.7</v>
      </c>
      <c r="H13" s="372">
        <v>12.9</v>
      </c>
      <c r="I13" s="372">
        <v>16.7</v>
      </c>
      <c r="J13" s="372"/>
      <c r="K13" s="373">
        <f t="shared" si="1"/>
        <v>67.599999999999994</v>
      </c>
      <c r="L13" s="374" t="s">
        <v>404</v>
      </c>
      <c r="M13" s="399" t="s">
        <v>404</v>
      </c>
      <c r="N13" s="375"/>
      <c r="O13" s="368"/>
      <c r="P13" s="377" t="s">
        <v>100</v>
      </c>
      <c r="Q13" s="329"/>
      <c r="R13" s="330"/>
      <c r="S13" s="370"/>
      <c r="T13" s="370"/>
      <c r="U13" s="370">
        <f t="shared" si="2"/>
        <v>0</v>
      </c>
      <c r="Y13" s="371" t="s">
        <v>100</v>
      </c>
      <c r="Z13" s="329"/>
      <c r="AA13" s="330"/>
      <c r="AB13" s="372"/>
      <c r="AC13" s="372"/>
      <c r="AD13" s="378"/>
      <c r="AE13" s="372"/>
      <c r="AF13" s="379"/>
      <c r="AG13" s="372"/>
      <c r="AH13" s="373"/>
      <c r="AI13" s="374"/>
      <c r="AJ13" s="399"/>
      <c r="AK13" s="375"/>
    </row>
    <row r="14" spans="2:37" s="284" customFormat="1" ht="14.25">
      <c r="B14" s="371" t="s">
        <v>101</v>
      </c>
      <c r="C14" s="214">
        <v>6735</v>
      </c>
      <c r="D14" s="330" t="str">
        <f t="shared" si="0"/>
        <v>VEGA</v>
      </c>
      <c r="E14" s="372">
        <v>15</v>
      </c>
      <c r="F14" s="372">
        <v>11.8</v>
      </c>
      <c r="G14" s="372">
        <v>30</v>
      </c>
      <c r="H14" s="372"/>
      <c r="I14" s="372"/>
      <c r="J14" s="372"/>
      <c r="K14" s="373">
        <f t="shared" si="1"/>
        <v>56.8</v>
      </c>
      <c r="L14" s="374"/>
      <c r="M14" s="399" t="s">
        <v>404</v>
      </c>
      <c r="N14" s="375"/>
      <c r="O14" s="368"/>
      <c r="P14" s="377" t="s">
        <v>101</v>
      </c>
      <c r="Q14" s="329"/>
      <c r="R14" s="330"/>
      <c r="S14" s="370"/>
      <c r="T14" s="370"/>
      <c r="U14" s="370">
        <f t="shared" si="2"/>
        <v>0</v>
      </c>
      <c r="Y14" s="371" t="s">
        <v>101</v>
      </c>
      <c r="Z14" s="329"/>
      <c r="AA14" s="330"/>
      <c r="AB14" s="372"/>
      <c r="AC14" s="372"/>
      <c r="AD14" s="378"/>
      <c r="AE14" s="372"/>
      <c r="AF14" s="372"/>
      <c r="AG14" s="372"/>
      <c r="AH14" s="373"/>
      <c r="AI14" s="395"/>
      <c r="AJ14" s="399"/>
      <c r="AK14" s="375"/>
    </row>
    <row r="15" spans="2:37" s="284" customFormat="1" ht="14.25">
      <c r="B15" s="371" t="s">
        <v>102</v>
      </c>
      <c r="C15" s="329">
        <v>131</v>
      </c>
      <c r="D15" s="330" t="str">
        <f t="shared" si="0"/>
        <v>ふるたか</v>
      </c>
      <c r="E15" s="372">
        <v>3.8</v>
      </c>
      <c r="F15" s="372">
        <v>12.9</v>
      </c>
      <c r="G15" s="372">
        <v>6.4</v>
      </c>
      <c r="H15" s="372">
        <v>7.1</v>
      </c>
      <c r="I15" s="372">
        <v>10</v>
      </c>
      <c r="J15" s="372"/>
      <c r="K15" s="373">
        <f t="shared" si="1"/>
        <v>40.200000000000003</v>
      </c>
      <c r="L15" s="374" t="s">
        <v>404</v>
      </c>
      <c r="M15" s="399" t="s">
        <v>404</v>
      </c>
      <c r="N15" s="375"/>
      <c r="O15" s="376"/>
      <c r="P15" s="377" t="s">
        <v>102</v>
      </c>
      <c r="Q15" s="329"/>
      <c r="R15" s="330"/>
      <c r="S15" s="370"/>
      <c r="T15" s="370"/>
      <c r="U15" s="370">
        <f t="shared" si="2"/>
        <v>0</v>
      </c>
      <c r="Y15" s="371" t="s">
        <v>102</v>
      </c>
      <c r="Z15" s="329"/>
      <c r="AA15" s="330"/>
      <c r="AB15" s="372"/>
      <c r="AC15" s="372"/>
      <c r="AD15" s="372"/>
      <c r="AE15" s="379"/>
      <c r="AF15" s="372"/>
      <c r="AG15" s="372"/>
      <c r="AH15" s="373"/>
      <c r="AI15" s="374"/>
      <c r="AJ15" s="399"/>
      <c r="AK15" s="375"/>
    </row>
    <row r="16" spans="2:37" s="284" customFormat="1" ht="14.25">
      <c r="B16" s="382" t="s">
        <v>103</v>
      </c>
      <c r="C16" s="226">
        <v>6714</v>
      </c>
      <c r="D16" s="332" t="str">
        <f t="shared" si="0"/>
        <v>HAURAKI</v>
      </c>
      <c r="E16" s="384">
        <v>20</v>
      </c>
      <c r="F16" s="384">
        <v>20</v>
      </c>
      <c r="G16" s="463"/>
      <c r="H16" s="463"/>
      <c r="I16" s="463"/>
      <c r="J16" s="384"/>
      <c r="K16" s="386">
        <f t="shared" si="1"/>
        <v>40</v>
      </c>
      <c r="L16" s="387"/>
      <c r="M16" s="387" t="s">
        <v>404</v>
      </c>
      <c r="N16" s="388"/>
      <c r="O16" s="368" t="s">
        <v>162</v>
      </c>
      <c r="P16" s="389" t="s">
        <v>103</v>
      </c>
      <c r="Q16" s="331"/>
      <c r="R16" s="332"/>
      <c r="S16" s="390"/>
      <c r="T16" s="390"/>
      <c r="U16" s="390">
        <f t="shared" si="2"/>
        <v>0</v>
      </c>
      <c r="Y16" s="382" t="s">
        <v>103</v>
      </c>
      <c r="Z16" s="331"/>
      <c r="AA16" s="332"/>
      <c r="AB16" s="384"/>
      <c r="AC16" s="384"/>
      <c r="AD16" s="384"/>
      <c r="AE16" s="384"/>
      <c r="AF16" s="384"/>
      <c r="AG16" s="384"/>
      <c r="AH16" s="386"/>
      <c r="AI16" s="387"/>
      <c r="AJ16" s="401"/>
      <c r="AK16" s="388"/>
    </row>
    <row r="17" spans="2:37" s="284" customFormat="1" ht="14.25">
      <c r="B17" s="362" t="s">
        <v>124</v>
      </c>
      <c r="C17" s="202">
        <v>346</v>
      </c>
      <c r="D17" s="335" t="str">
        <f t="shared" si="0"/>
        <v>飛車角</v>
      </c>
      <c r="E17" s="364">
        <v>2.5</v>
      </c>
      <c r="F17" s="363">
        <v>2.4</v>
      </c>
      <c r="G17" s="364">
        <v>8.6</v>
      </c>
      <c r="H17" s="365">
        <v>5.7</v>
      </c>
      <c r="I17" s="363">
        <v>13.3</v>
      </c>
      <c r="J17" s="363"/>
      <c r="K17" s="394">
        <f t="shared" si="1"/>
        <v>32.5</v>
      </c>
      <c r="L17" s="374" t="s">
        <v>404</v>
      </c>
      <c r="M17" s="395" t="s">
        <v>404</v>
      </c>
      <c r="N17" s="396"/>
      <c r="O17" s="376"/>
      <c r="P17" s="369" t="s">
        <v>104</v>
      </c>
      <c r="Q17" s="327"/>
      <c r="R17" s="335"/>
      <c r="S17" s="397"/>
      <c r="T17" s="397"/>
      <c r="U17" s="397">
        <f t="shared" si="2"/>
        <v>0</v>
      </c>
      <c r="Y17" s="362" t="s">
        <v>104</v>
      </c>
      <c r="Z17" s="327"/>
      <c r="AA17" s="335"/>
      <c r="AB17" s="363"/>
      <c r="AC17" s="393"/>
      <c r="AD17" s="398"/>
      <c r="AE17" s="363"/>
      <c r="AF17" s="363"/>
      <c r="AG17" s="403"/>
      <c r="AH17" s="394"/>
      <c r="AI17" s="395"/>
      <c r="AJ17" s="402"/>
      <c r="AK17" s="396"/>
    </row>
    <row r="18" spans="2:37" s="284" customFormat="1" ht="14.25">
      <c r="B18" s="371" t="s">
        <v>125</v>
      </c>
      <c r="C18" s="329">
        <v>312</v>
      </c>
      <c r="D18" s="335" t="str">
        <f t="shared" si="0"/>
        <v>はやとり</v>
      </c>
      <c r="E18" s="372">
        <v>1</v>
      </c>
      <c r="F18" s="372"/>
      <c r="G18" s="372"/>
      <c r="H18" s="372"/>
      <c r="I18" s="372">
        <v>30</v>
      </c>
      <c r="J18" s="372"/>
      <c r="K18" s="373">
        <f t="shared" si="1"/>
        <v>31</v>
      </c>
      <c r="L18" s="374"/>
      <c r="M18" s="399" t="s">
        <v>404</v>
      </c>
      <c r="N18" s="375"/>
      <c r="O18" s="368"/>
      <c r="P18" s="377" t="s">
        <v>105</v>
      </c>
      <c r="Q18" s="329"/>
      <c r="R18" s="335"/>
      <c r="S18" s="370"/>
      <c r="T18" s="370"/>
      <c r="U18" s="370">
        <f t="shared" si="2"/>
        <v>0</v>
      </c>
      <c r="Y18" s="371" t="s">
        <v>105</v>
      </c>
      <c r="Z18" s="329"/>
      <c r="AA18" s="335"/>
      <c r="AB18" s="372"/>
      <c r="AC18" s="372"/>
      <c r="AD18" s="378"/>
      <c r="AE18" s="372"/>
      <c r="AF18" s="372"/>
      <c r="AG18" s="372"/>
      <c r="AH18" s="373"/>
      <c r="AI18" s="374"/>
      <c r="AJ18" s="399"/>
      <c r="AK18" s="375"/>
    </row>
    <row r="19" spans="2:37" s="284" customFormat="1" ht="14.25">
      <c r="B19" s="371" t="s">
        <v>106</v>
      </c>
      <c r="C19" s="214">
        <v>5755</v>
      </c>
      <c r="D19" s="330" t="str">
        <f t="shared" si="0"/>
        <v>ランカ</v>
      </c>
      <c r="E19" s="380">
        <v>8.8000000000000007</v>
      </c>
      <c r="F19" s="400">
        <v>3.5</v>
      </c>
      <c r="G19" s="372">
        <v>12.9</v>
      </c>
      <c r="H19" s="372">
        <v>1</v>
      </c>
      <c r="I19" s="372"/>
      <c r="J19" s="372"/>
      <c r="K19" s="373">
        <f t="shared" si="1"/>
        <v>26.200000000000003</v>
      </c>
      <c r="L19" s="374"/>
      <c r="M19" s="399" t="s">
        <v>404</v>
      </c>
      <c r="N19" s="375"/>
      <c r="O19" s="368"/>
      <c r="P19" s="377" t="s">
        <v>106</v>
      </c>
      <c r="Q19" s="329"/>
      <c r="R19" s="330"/>
      <c r="S19" s="370"/>
      <c r="T19" s="370"/>
      <c r="U19" s="370">
        <f t="shared" si="2"/>
        <v>0</v>
      </c>
      <c r="Y19" s="371" t="s">
        <v>106</v>
      </c>
      <c r="Z19" s="329"/>
      <c r="AA19" s="330"/>
      <c r="AB19" s="372"/>
      <c r="AC19" s="379"/>
      <c r="AD19" s="379"/>
      <c r="AE19" s="372"/>
      <c r="AF19" s="372"/>
      <c r="AG19" s="372"/>
      <c r="AH19" s="373"/>
      <c r="AI19" s="374"/>
      <c r="AJ19" s="399"/>
      <c r="AK19" s="375"/>
    </row>
    <row r="20" spans="2:37" s="284" customFormat="1" ht="14.25">
      <c r="B20" s="371" t="s">
        <v>107</v>
      </c>
      <c r="C20" s="329">
        <v>199</v>
      </c>
      <c r="D20" s="330" t="str">
        <f t="shared" si="0"/>
        <v>サ－モン4</v>
      </c>
      <c r="E20" s="372">
        <v>10</v>
      </c>
      <c r="F20" s="372">
        <v>5.9</v>
      </c>
      <c r="G20" s="372">
        <v>1</v>
      </c>
      <c r="H20" s="372">
        <v>8.6</v>
      </c>
      <c r="I20" s="372"/>
      <c r="J20" s="400"/>
      <c r="K20" s="373">
        <f t="shared" si="1"/>
        <v>25.5</v>
      </c>
      <c r="L20" s="374"/>
      <c r="M20" s="399" t="s">
        <v>404</v>
      </c>
      <c r="N20" s="375"/>
      <c r="O20" s="376"/>
      <c r="P20" s="377" t="s">
        <v>107</v>
      </c>
      <c r="Q20" s="329"/>
      <c r="R20" s="330"/>
      <c r="S20" s="370"/>
      <c r="T20" s="370"/>
      <c r="U20" s="370">
        <f t="shared" si="2"/>
        <v>0</v>
      </c>
      <c r="Y20" s="371" t="s">
        <v>107</v>
      </c>
      <c r="Z20" s="329"/>
      <c r="AA20" s="330"/>
      <c r="AB20" s="372"/>
      <c r="AC20" s="378"/>
      <c r="AD20" s="378"/>
      <c r="AE20" s="372"/>
      <c r="AF20" s="372"/>
      <c r="AG20" s="372"/>
      <c r="AH20" s="373"/>
      <c r="AI20" s="374"/>
      <c r="AJ20" s="399"/>
      <c r="AK20" s="375"/>
    </row>
    <row r="21" spans="2:37" s="284" customFormat="1" ht="14.25">
      <c r="B21" s="382" t="s">
        <v>108</v>
      </c>
      <c r="C21" s="226">
        <v>1985</v>
      </c>
      <c r="D21" s="383" t="str">
        <f t="shared" si="0"/>
        <v>波勝</v>
      </c>
      <c r="E21" s="384"/>
      <c r="F21" s="384">
        <v>1</v>
      </c>
      <c r="G21" s="384"/>
      <c r="H21" s="384"/>
      <c r="I21" s="384">
        <v>20</v>
      </c>
      <c r="J21" s="384"/>
      <c r="K21" s="386">
        <f t="shared" si="1"/>
        <v>21</v>
      </c>
      <c r="L21" s="387"/>
      <c r="M21" s="401" t="s">
        <v>404</v>
      </c>
      <c r="N21" s="388"/>
      <c r="O21" s="368"/>
      <c r="P21" s="389" t="s">
        <v>108</v>
      </c>
      <c r="Q21" s="331"/>
      <c r="R21" s="383"/>
      <c r="S21" s="390"/>
      <c r="T21" s="390"/>
      <c r="U21" s="390">
        <f t="shared" si="2"/>
        <v>0</v>
      </c>
      <c r="Y21" s="382" t="s">
        <v>108</v>
      </c>
      <c r="Z21" s="331"/>
      <c r="AA21" s="383"/>
      <c r="AB21" s="384"/>
      <c r="AC21" s="384"/>
      <c r="AD21" s="392"/>
      <c r="AE21" s="384"/>
      <c r="AF21" s="384"/>
      <c r="AG21" s="384"/>
      <c r="AH21" s="386"/>
      <c r="AI21" s="387"/>
      <c r="AJ21" s="401"/>
      <c r="AK21" s="388"/>
    </row>
    <row r="22" spans="2:37" s="284" customFormat="1" ht="14.25">
      <c r="B22" s="362" t="s">
        <v>109</v>
      </c>
      <c r="C22" s="333">
        <v>6793</v>
      </c>
      <c r="D22" s="328" t="str">
        <f t="shared" si="0"/>
        <v>Miss Nippon Ⅷ</v>
      </c>
      <c r="E22" s="363"/>
      <c r="F22" s="393"/>
      <c r="G22" s="363">
        <v>17.100000000000001</v>
      </c>
      <c r="H22" s="363"/>
      <c r="I22" s="363"/>
      <c r="J22" s="363"/>
      <c r="K22" s="365">
        <f t="shared" si="1"/>
        <v>17.100000000000001</v>
      </c>
      <c r="L22" s="366"/>
      <c r="M22" s="402"/>
      <c r="N22" s="396"/>
      <c r="O22" s="368"/>
      <c r="P22" s="369" t="s">
        <v>109</v>
      </c>
      <c r="Q22" s="333"/>
      <c r="R22" s="328"/>
      <c r="S22" s="397"/>
      <c r="T22" s="397"/>
      <c r="U22" s="397">
        <f t="shared" si="2"/>
        <v>0</v>
      </c>
      <c r="Y22" s="362" t="s">
        <v>109</v>
      </c>
      <c r="Z22" s="404"/>
      <c r="AA22" s="328"/>
      <c r="AB22" s="363"/>
      <c r="AC22" s="398"/>
      <c r="AD22" s="398"/>
      <c r="AE22" s="393"/>
      <c r="AF22" s="363"/>
      <c r="AG22" s="363"/>
      <c r="AH22" s="394"/>
      <c r="AI22" s="395"/>
      <c r="AJ22" s="402"/>
      <c r="AK22" s="396"/>
    </row>
    <row r="23" spans="2:37" s="284" customFormat="1" ht="14.25">
      <c r="B23" s="371" t="s">
        <v>110</v>
      </c>
      <c r="C23" s="214">
        <v>162</v>
      </c>
      <c r="D23" s="330" t="str">
        <f t="shared" si="0"/>
        <v>ﾌｪﾆｯｸｽ</v>
      </c>
      <c r="E23" s="405">
        <v>6.3</v>
      </c>
      <c r="F23" s="405">
        <v>4.7</v>
      </c>
      <c r="G23" s="405">
        <v>1</v>
      </c>
      <c r="H23" s="405">
        <v>4.3</v>
      </c>
      <c r="I23" s="405"/>
      <c r="J23" s="405"/>
      <c r="K23" s="394">
        <f t="shared" si="1"/>
        <v>16.3</v>
      </c>
      <c r="L23" s="374"/>
      <c r="M23" s="402" t="s">
        <v>404</v>
      </c>
      <c r="N23" s="396"/>
      <c r="O23" s="376"/>
      <c r="P23" s="377" t="s">
        <v>110</v>
      </c>
      <c r="Q23" s="329"/>
      <c r="R23" s="330"/>
      <c r="S23" s="370"/>
      <c r="T23" s="370"/>
      <c r="U23" s="370">
        <f t="shared" si="2"/>
        <v>0</v>
      </c>
      <c r="Y23" s="371" t="s">
        <v>110</v>
      </c>
      <c r="Z23" s="329"/>
      <c r="AA23" s="330"/>
      <c r="AB23" s="381"/>
      <c r="AC23" s="400"/>
      <c r="AD23" s="378"/>
      <c r="AE23" s="372"/>
      <c r="AF23" s="372"/>
      <c r="AG23" s="372"/>
      <c r="AH23" s="373"/>
      <c r="AI23" s="374"/>
      <c r="AJ23" s="402"/>
      <c r="AK23" s="396"/>
    </row>
    <row r="24" spans="2:37" s="284" customFormat="1" ht="14.25">
      <c r="B24" s="371" t="s">
        <v>111</v>
      </c>
      <c r="C24" s="329">
        <v>3387</v>
      </c>
      <c r="D24" s="330" t="str">
        <f t="shared" si="0"/>
        <v>BASIC</v>
      </c>
      <c r="E24" s="372"/>
      <c r="F24" s="372">
        <v>15.3</v>
      </c>
      <c r="G24" s="372"/>
      <c r="H24" s="372"/>
      <c r="I24" s="372"/>
      <c r="J24" s="372"/>
      <c r="K24" s="373">
        <f t="shared" si="1"/>
        <v>15.3</v>
      </c>
      <c r="L24" s="374"/>
      <c r="M24" s="399"/>
      <c r="N24" s="375"/>
      <c r="O24" s="376"/>
      <c r="P24" s="377" t="s">
        <v>111</v>
      </c>
      <c r="Q24" s="329"/>
      <c r="R24" s="330"/>
      <c r="S24" s="370"/>
      <c r="T24" s="370"/>
      <c r="U24" s="370">
        <f t="shared" si="2"/>
        <v>0</v>
      </c>
      <c r="Y24" s="371" t="s">
        <v>111</v>
      </c>
      <c r="Z24" s="329"/>
      <c r="AA24" s="330"/>
      <c r="AB24" s="372"/>
      <c r="AC24" s="372"/>
      <c r="AD24" s="378"/>
      <c r="AE24" s="372"/>
      <c r="AF24" s="372"/>
      <c r="AG24" s="400"/>
      <c r="AH24" s="373"/>
      <c r="AI24" s="374"/>
      <c r="AJ24" s="399"/>
      <c r="AK24" s="375"/>
    </row>
    <row r="25" spans="2:37" s="284" customFormat="1" ht="14.25">
      <c r="B25" s="371" t="s">
        <v>112</v>
      </c>
      <c r="C25" s="214">
        <v>2212</v>
      </c>
      <c r="D25" s="330" t="str">
        <f t="shared" si="0"/>
        <v>衣笠</v>
      </c>
      <c r="E25" s="372">
        <v>5</v>
      </c>
      <c r="F25" s="372"/>
      <c r="G25" s="372"/>
      <c r="H25" s="372">
        <v>10</v>
      </c>
      <c r="I25" s="372"/>
      <c r="J25" s="372"/>
      <c r="K25" s="373">
        <f t="shared" si="1"/>
        <v>15</v>
      </c>
      <c r="L25" s="374"/>
      <c r="M25" s="399" t="s">
        <v>404</v>
      </c>
      <c r="N25" s="375"/>
      <c r="O25" s="407"/>
      <c r="P25" s="377" t="s">
        <v>112</v>
      </c>
      <c r="Q25" s="334"/>
      <c r="R25" s="330"/>
      <c r="S25" s="370"/>
      <c r="T25" s="370"/>
      <c r="U25" s="370">
        <f t="shared" si="2"/>
        <v>0</v>
      </c>
      <c r="Y25" s="371" t="s">
        <v>112</v>
      </c>
      <c r="Z25" s="329"/>
      <c r="AA25" s="330"/>
      <c r="AB25" s="372"/>
      <c r="AC25" s="372"/>
      <c r="AD25" s="378"/>
      <c r="AE25" s="372"/>
      <c r="AF25" s="372"/>
      <c r="AG25" s="372"/>
      <c r="AH25" s="373"/>
      <c r="AI25" s="374"/>
      <c r="AJ25" s="399"/>
      <c r="AK25" s="375"/>
    </row>
    <row r="26" spans="2:37" s="284" customFormat="1" ht="14.25">
      <c r="B26" s="382" t="s">
        <v>126</v>
      </c>
      <c r="C26" s="226">
        <v>5273</v>
      </c>
      <c r="D26" s="332" t="str">
        <f t="shared" si="0"/>
        <v>仰秀</v>
      </c>
      <c r="E26" s="384">
        <v>12.5</v>
      </c>
      <c r="F26" s="384"/>
      <c r="G26" s="384"/>
      <c r="H26" s="384"/>
      <c r="I26" s="384"/>
      <c r="J26" s="384"/>
      <c r="K26" s="386">
        <f t="shared" si="1"/>
        <v>12.5</v>
      </c>
      <c r="L26" s="387"/>
      <c r="M26" s="401"/>
      <c r="N26" s="388"/>
      <c r="O26" s="376"/>
      <c r="P26" s="389" t="s">
        <v>113</v>
      </c>
      <c r="Q26" s="331"/>
      <c r="R26" s="332"/>
      <c r="S26" s="390"/>
      <c r="T26" s="390"/>
      <c r="U26" s="390">
        <f t="shared" si="2"/>
        <v>0</v>
      </c>
      <c r="Y26" s="382" t="s">
        <v>113</v>
      </c>
      <c r="Z26" s="331"/>
      <c r="AA26" s="332"/>
      <c r="AB26" s="384"/>
      <c r="AC26" s="385"/>
      <c r="AD26" s="392"/>
      <c r="AE26" s="384"/>
      <c r="AF26" s="384"/>
      <c r="AG26" s="384"/>
      <c r="AH26" s="386"/>
      <c r="AI26" s="387"/>
      <c r="AJ26" s="401"/>
      <c r="AK26" s="388"/>
    </row>
    <row r="27" spans="2:37" s="284" customFormat="1" ht="14.25">
      <c r="B27" s="362" t="s">
        <v>114</v>
      </c>
      <c r="C27" s="329">
        <v>1545</v>
      </c>
      <c r="D27" s="335" t="str">
        <f t="shared" si="0"/>
        <v>ﾌﾙｰﾄﾞﾘｽⅦ</v>
      </c>
      <c r="E27" s="363"/>
      <c r="F27" s="363">
        <v>8.1999999999999993</v>
      </c>
      <c r="G27" s="363"/>
      <c r="H27" s="393"/>
      <c r="I27" s="363"/>
      <c r="J27" s="363"/>
      <c r="K27" s="394">
        <f t="shared" si="1"/>
        <v>8.1999999999999993</v>
      </c>
      <c r="L27" s="395"/>
      <c r="M27" s="402"/>
      <c r="N27" s="396"/>
      <c r="O27" s="376"/>
      <c r="P27" s="369" t="s">
        <v>114</v>
      </c>
      <c r="Q27" s="334"/>
      <c r="R27" s="335"/>
      <c r="S27" s="397"/>
      <c r="T27" s="397"/>
      <c r="U27" s="397">
        <f t="shared" si="2"/>
        <v>0</v>
      </c>
      <c r="Y27" s="362" t="s">
        <v>114</v>
      </c>
      <c r="Z27" s="329"/>
      <c r="AA27" s="335"/>
      <c r="AB27" s="403"/>
      <c r="AC27" s="363"/>
      <c r="AD27" s="408"/>
      <c r="AE27" s="363"/>
      <c r="AF27" s="363"/>
      <c r="AG27" s="363"/>
      <c r="AH27" s="394"/>
      <c r="AI27" s="395"/>
      <c r="AJ27" s="402"/>
      <c r="AK27" s="396"/>
    </row>
    <row r="28" spans="2:37" s="284" customFormat="1" ht="14.25">
      <c r="B28" s="371" t="s">
        <v>115</v>
      </c>
      <c r="C28" s="333">
        <v>6858</v>
      </c>
      <c r="D28" s="330" t="str">
        <f t="shared" si="0"/>
        <v>Ms.M</v>
      </c>
      <c r="E28" s="400"/>
      <c r="F28" s="372">
        <v>7.1</v>
      </c>
      <c r="G28" s="372"/>
      <c r="H28" s="372"/>
      <c r="I28" s="372"/>
      <c r="J28" s="372"/>
      <c r="K28" s="373">
        <f t="shared" si="1"/>
        <v>7.1</v>
      </c>
      <c r="L28" s="374"/>
      <c r="M28" s="399"/>
      <c r="N28" s="375"/>
      <c r="O28" s="368"/>
      <c r="P28" s="377" t="s">
        <v>115</v>
      </c>
      <c r="Q28" s="333"/>
      <c r="R28" s="330"/>
      <c r="S28" s="370"/>
      <c r="T28" s="370"/>
      <c r="U28" s="370">
        <f t="shared" si="2"/>
        <v>0</v>
      </c>
      <c r="Y28" s="371" t="s">
        <v>115</v>
      </c>
      <c r="Z28" s="333"/>
      <c r="AA28" s="330"/>
      <c r="AB28" s="372"/>
      <c r="AC28" s="379"/>
      <c r="AD28" s="378"/>
      <c r="AE28" s="372"/>
      <c r="AF28" s="372"/>
      <c r="AG28" s="372"/>
      <c r="AH28" s="373"/>
      <c r="AI28" s="374"/>
      <c r="AJ28" s="399"/>
      <c r="AK28" s="375"/>
    </row>
    <row r="29" spans="2:37" s="284" customFormat="1" ht="14.25">
      <c r="B29" s="371" t="s">
        <v>116</v>
      </c>
      <c r="C29" s="329">
        <v>4010</v>
      </c>
      <c r="D29" s="330" t="str">
        <f t="shared" si="0"/>
        <v>ナジャ</v>
      </c>
      <c r="E29" s="372"/>
      <c r="F29" s="372"/>
      <c r="G29" s="400">
        <v>4.3</v>
      </c>
      <c r="H29" s="372"/>
      <c r="I29" s="372"/>
      <c r="J29" s="372"/>
      <c r="K29" s="373">
        <f t="shared" si="1"/>
        <v>4.3</v>
      </c>
      <c r="L29" s="374"/>
      <c r="M29" s="399"/>
      <c r="N29" s="375"/>
      <c r="O29" s="368"/>
      <c r="P29" s="377" t="s">
        <v>116</v>
      </c>
      <c r="Q29" s="329"/>
      <c r="R29" s="330"/>
      <c r="S29" s="370"/>
      <c r="T29" s="370"/>
      <c r="U29" s="370">
        <f t="shared" si="2"/>
        <v>0</v>
      </c>
      <c r="Y29" s="371" t="s">
        <v>116</v>
      </c>
      <c r="Z29" s="329"/>
      <c r="AA29" s="330"/>
      <c r="AB29" s="400"/>
      <c r="AC29" s="372"/>
      <c r="AD29" s="378"/>
      <c r="AE29" s="372"/>
      <c r="AF29" s="372"/>
      <c r="AG29" s="372"/>
      <c r="AH29" s="373"/>
      <c r="AI29" s="374"/>
      <c r="AJ29" s="399"/>
      <c r="AK29" s="375"/>
    </row>
    <row r="30" spans="2:37" s="284" customFormat="1" ht="14.25">
      <c r="B30" s="371" t="s">
        <v>117</v>
      </c>
      <c r="C30" s="329">
        <v>2759</v>
      </c>
      <c r="D30" s="330" t="str">
        <f t="shared" si="0"/>
        <v>イクソラⅢ</v>
      </c>
      <c r="E30" s="372"/>
      <c r="F30" s="372"/>
      <c r="G30" s="372"/>
      <c r="H30" s="372">
        <v>1</v>
      </c>
      <c r="I30" s="372"/>
      <c r="J30" s="372"/>
      <c r="K30" s="373">
        <f t="shared" si="1"/>
        <v>1</v>
      </c>
      <c r="L30" s="374"/>
      <c r="M30" s="399"/>
      <c r="N30" s="375"/>
      <c r="O30" s="368"/>
      <c r="P30" s="377" t="s">
        <v>117</v>
      </c>
      <c r="Q30" s="329"/>
      <c r="R30" s="330"/>
      <c r="S30" s="370"/>
      <c r="T30" s="370"/>
      <c r="U30" s="370">
        <f t="shared" si="2"/>
        <v>0</v>
      </c>
      <c r="Y30" s="371" t="s">
        <v>117</v>
      </c>
      <c r="Z30" s="329"/>
      <c r="AA30" s="330"/>
      <c r="AB30" s="372"/>
      <c r="AC30" s="379"/>
      <c r="AD30" s="378"/>
      <c r="AE30" s="372"/>
      <c r="AF30" s="372"/>
      <c r="AG30" s="372"/>
      <c r="AH30" s="373"/>
      <c r="AI30" s="374"/>
      <c r="AJ30" s="399"/>
      <c r="AK30" s="375"/>
    </row>
    <row r="31" spans="2:37" s="284" customFormat="1" ht="15" thickBot="1">
      <c r="B31" s="382" t="s">
        <v>118</v>
      </c>
      <c r="C31" s="331"/>
      <c r="D31" s="332" t="str">
        <f t="shared" ref="D31" si="3">IF(ISBLANK(C31),"",VLOOKUP(C31,各艇データ,2,FALSE))</f>
        <v/>
      </c>
      <c r="E31" s="384"/>
      <c r="F31" s="384"/>
      <c r="G31" s="384"/>
      <c r="H31" s="384"/>
      <c r="I31" s="384"/>
      <c r="J31" s="384"/>
      <c r="K31" s="386">
        <f t="shared" ref="K31" si="4">SUM(E31:J31)</f>
        <v>0</v>
      </c>
      <c r="L31" s="387"/>
      <c r="M31" s="401"/>
      <c r="N31" s="388"/>
      <c r="O31" s="368"/>
      <c r="P31" s="389" t="s">
        <v>118</v>
      </c>
      <c r="Q31" s="331"/>
      <c r="R31" s="332"/>
      <c r="S31" s="390"/>
      <c r="T31" s="390"/>
      <c r="U31" s="390">
        <f t="shared" si="2"/>
        <v>0</v>
      </c>
      <c r="Y31" s="382" t="s">
        <v>118</v>
      </c>
      <c r="Z31" s="331"/>
      <c r="AA31" s="332"/>
      <c r="AB31" s="384"/>
      <c r="AC31" s="384"/>
      <c r="AD31" s="392"/>
      <c r="AE31" s="384"/>
      <c r="AF31" s="384"/>
      <c r="AG31" s="384"/>
      <c r="AH31" s="386"/>
      <c r="AI31" s="387"/>
      <c r="AJ31" s="401"/>
      <c r="AK31" s="409"/>
    </row>
    <row r="32" spans="2:37" s="284" customFormat="1" ht="15" thickTop="1">
      <c r="B32" s="410" t="s">
        <v>114</v>
      </c>
      <c r="C32" s="404"/>
      <c r="D32" s="335" t="str">
        <f t="shared" ref="D32:D36" si="5">IF(ISBLANK(C32),"",VLOOKUP(C32,各艇データ,2,FALSE))</f>
        <v/>
      </c>
      <c r="E32" s="411"/>
      <c r="F32" s="405"/>
      <c r="G32" s="406"/>
      <c r="H32" s="405"/>
      <c r="I32" s="412"/>
      <c r="J32" s="405"/>
      <c r="K32" s="394"/>
      <c r="L32" s="395"/>
      <c r="M32" s="402"/>
      <c r="N32" s="396"/>
      <c r="O32" s="376"/>
      <c r="P32" s="369" t="s">
        <v>114</v>
      </c>
      <c r="Q32" s="404"/>
      <c r="R32" s="335"/>
      <c r="S32" s="397"/>
      <c r="T32" s="397"/>
      <c r="U32" s="397">
        <f t="shared" si="2"/>
        <v>0</v>
      </c>
      <c r="Y32" s="410" t="s">
        <v>114</v>
      </c>
      <c r="Z32" s="404"/>
      <c r="AA32" s="335"/>
      <c r="AB32" s="411"/>
      <c r="AC32" s="405"/>
      <c r="AD32" s="406"/>
      <c r="AE32" s="405"/>
      <c r="AF32" s="412"/>
      <c r="AG32" s="405"/>
      <c r="AH32" s="394"/>
      <c r="AI32" s="395"/>
      <c r="AJ32" s="402"/>
      <c r="AK32" s="396"/>
    </row>
    <row r="33" spans="2:37" s="284" customFormat="1" ht="14.25">
      <c r="B33" s="371" t="s">
        <v>115</v>
      </c>
      <c r="C33" s="333"/>
      <c r="D33" s="330" t="str">
        <f t="shared" si="5"/>
        <v/>
      </c>
      <c r="E33" s="400"/>
      <c r="F33" s="372"/>
      <c r="G33" s="378"/>
      <c r="H33" s="372"/>
      <c r="I33" s="372"/>
      <c r="J33" s="400"/>
      <c r="K33" s="373"/>
      <c r="L33" s="374"/>
      <c r="M33" s="399"/>
      <c r="N33" s="375"/>
      <c r="O33" s="368"/>
      <c r="P33" s="377" t="s">
        <v>115</v>
      </c>
      <c r="Q33" s="333"/>
      <c r="R33" s="330"/>
      <c r="S33" s="370"/>
      <c r="T33" s="370"/>
      <c r="U33" s="370">
        <f t="shared" si="2"/>
        <v>0</v>
      </c>
      <c r="Y33" s="371" t="s">
        <v>115</v>
      </c>
      <c r="Z33" s="333"/>
      <c r="AA33" s="330"/>
      <c r="AB33" s="400"/>
      <c r="AC33" s="372"/>
      <c r="AD33" s="378"/>
      <c r="AE33" s="372"/>
      <c r="AF33" s="372"/>
      <c r="AG33" s="400"/>
      <c r="AH33" s="373"/>
      <c r="AI33" s="374"/>
      <c r="AJ33" s="399"/>
      <c r="AK33" s="375"/>
    </row>
    <row r="34" spans="2:37" s="284" customFormat="1" ht="14.25">
      <c r="B34" s="371" t="s">
        <v>116</v>
      </c>
      <c r="C34" s="334"/>
      <c r="D34" s="330" t="str">
        <f t="shared" si="5"/>
        <v/>
      </c>
      <c r="E34" s="372"/>
      <c r="F34" s="378"/>
      <c r="G34" s="378"/>
      <c r="H34" s="400"/>
      <c r="I34" s="372"/>
      <c r="J34" s="372"/>
      <c r="K34" s="373"/>
      <c r="L34" s="374"/>
      <c r="M34" s="399"/>
      <c r="N34" s="375"/>
      <c r="O34" s="368"/>
      <c r="P34" s="377" t="s">
        <v>116</v>
      </c>
      <c r="Q34" s="329"/>
      <c r="R34" s="413" t="str">
        <f t="shared" ref="R34" si="6">IF(ISBLANK(Q34),"",VLOOKUP(Q34,各艇データ,2,FALSE))</f>
        <v/>
      </c>
      <c r="S34" s="370"/>
      <c r="T34" s="370"/>
      <c r="U34" s="370"/>
      <c r="Y34" s="371" t="s">
        <v>116</v>
      </c>
      <c r="Z34" s="334"/>
      <c r="AA34" s="330"/>
      <c r="AB34" s="372"/>
      <c r="AC34" s="378"/>
      <c r="AD34" s="378"/>
      <c r="AE34" s="400"/>
      <c r="AF34" s="372"/>
      <c r="AG34" s="372"/>
      <c r="AH34" s="373"/>
      <c r="AI34" s="374"/>
      <c r="AJ34" s="399"/>
      <c r="AK34" s="375"/>
    </row>
    <row r="35" spans="2:37" s="284" customFormat="1" ht="14.25">
      <c r="B35" s="371" t="s">
        <v>117</v>
      </c>
      <c r="C35" s="329"/>
      <c r="D35" s="330" t="str">
        <f t="shared" si="5"/>
        <v/>
      </c>
      <c r="E35" s="372"/>
      <c r="F35" s="372"/>
      <c r="G35" s="372"/>
      <c r="H35" s="372"/>
      <c r="I35" s="372"/>
      <c r="J35" s="400"/>
      <c r="K35" s="373"/>
      <c r="L35" s="374"/>
      <c r="M35" s="399"/>
      <c r="N35" s="375"/>
      <c r="O35" s="368"/>
      <c r="P35" s="377" t="s">
        <v>117</v>
      </c>
      <c r="Q35" s="329"/>
      <c r="R35" s="413"/>
      <c r="S35" s="370"/>
      <c r="T35" s="370"/>
      <c r="U35" s="370"/>
      <c r="Y35" s="371" t="s">
        <v>117</v>
      </c>
      <c r="Z35" s="329"/>
      <c r="AA35" s="330"/>
      <c r="AB35" s="372"/>
      <c r="AC35" s="372"/>
      <c r="AD35" s="372"/>
      <c r="AE35" s="372"/>
      <c r="AF35" s="372"/>
      <c r="AG35" s="400"/>
      <c r="AH35" s="373"/>
      <c r="AI35" s="374"/>
      <c r="AJ35" s="399"/>
      <c r="AK35" s="375"/>
    </row>
    <row r="36" spans="2:37" s="284" customFormat="1" ht="15" thickBot="1">
      <c r="B36" s="414" t="s">
        <v>118</v>
      </c>
      <c r="C36" s="415"/>
      <c r="D36" s="416" t="str">
        <f t="shared" si="5"/>
        <v/>
      </c>
      <c r="E36" s="417"/>
      <c r="F36" s="417"/>
      <c r="G36" s="417"/>
      <c r="H36" s="417"/>
      <c r="I36" s="417"/>
      <c r="J36" s="417"/>
      <c r="K36" s="418"/>
      <c r="L36" s="419"/>
      <c r="M36" s="420"/>
      <c r="N36" s="409"/>
      <c r="O36" s="368"/>
      <c r="P36" s="389" t="s">
        <v>118</v>
      </c>
      <c r="Q36" s="331"/>
      <c r="R36" s="421"/>
      <c r="S36" s="390"/>
      <c r="T36" s="390"/>
      <c r="U36" s="390"/>
      <c r="Y36" s="414" t="s">
        <v>118</v>
      </c>
      <c r="Z36" s="415"/>
      <c r="AA36" s="416" t="str">
        <f>IF(ISBLANK(Z36),"",VLOOKUP(Z36,各艇データ,2,FALSE))</f>
        <v/>
      </c>
      <c r="AB36" s="417"/>
      <c r="AC36" s="417"/>
      <c r="AD36" s="417"/>
      <c r="AE36" s="417"/>
      <c r="AF36" s="417"/>
      <c r="AG36" s="417"/>
      <c r="AH36" s="418"/>
      <c r="AI36" s="419"/>
      <c r="AJ36" s="420"/>
      <c r="AK36" s="409"/>
    </row>
    <row r="37" spans="2:37" s="284" customFormat="1" ht="15.75" thickTop="1" thickBot="1">
      <c r="B37" s="561" t="s">
        <v>119</v>
      </c>
      <c r="C37" s="562"/>
      <c r="D37" s="563"/>
      <c r="E37" s="422">
        <f t="shared" ref="E37:J37" si="7">COUNT(E7:E36)</f>
        <v>17</v>
      </c>
      <c r="F37" s="422">
        <f t="shared" si="7"/>
        <v>18</v>
      </c>
      <c r="G37" s="422">
        <f t="shared" si="7"/>
        <v>15</v>
      </c>
      <c r="H37" s="422">
        <f>COUNT(H7:H36)</f>
        <v>14</v>
      </c>
      <c r="I37" s="422">
        <f t="shared" si="7"/>
        <v>11</v>
      </c>
      <c r="J37" s="422">
        <f t="shared" si="7"/>
        <v>0</v>
      </c>
      <c r="K37" s="422"/>
      <c r="L37" s="423"/>
      <c r="M37" s="424"/>
      <c r="N37" s="425"/>
      <c r="O37" s="368"/>
      <c r="P37" s="369" t="s">
        <v>135</v>
      </c>
      <c r="Q37" s="333"/>
      <c r="R37" s="426"/>
      <c r="S37" s="397"/>
      <c r="T37" s="397"/>
      <c r="U37" s="397"/>
      <c r="Y37" s="522" t="s">
        <v>217</v>
      </c>
      <c r="Z37" s="523"/>
      <c r="AA37" s="524"/>
      <c r="AB37" s="422">
        <f>COUNT(AB7:AB36)</f>
        <v>0</v>
      </c>
      <c r="AC37" s="422">
        <f>COUNT(AC7:AC36)</f>
        <v>0</v>
      </c>
      <c r="AD37" s="422">
        <f>COUNT(AD7:AD36)</f>
        <v>0</v>
      </c>
      <c r="AE37" s="422">
        <f>COUNT(AE7:AE36)</f>
        <v>0</v>
      </c>
      <c r="AF37" s="422">
        <f>COUNT(AF7:AF36)</f>
        <v>0</v>
      </c>
      <c r="AG37" s="422"/>
      <c r="AH37" s="422"/>
      <c r="AI37" s="423"/>
      <c r="AJ37" s="424"/>
      <c r="AK37" s="425"/>
    </row>
    <row r="38" spans="2:37" s="284" customFormat="1" ht="14.25">
      <c r="B38" s="280" t="s">
        <v>127</v>
      </c>
      <c r="C38" s="280"/>
      <c r="O38" s="427"/>
      <c r="P38" s="377" t="s">
        <v>136</v>
      </c>
      <c r="Q38" s="329"/>
      <c r="R38" s="413"/>
      <c r="S38" s="370"/>
      <c r="T38" s="370"/>
      <c r="U38" s="370"/>
      <c r="Y38" s="280" t="s">
        <v>127</v>
      </c>
      <c r="Z38" s="280"/>
    </row>
    <row r="39" spans="2:37" s="284" customFormat="1" ht="14.25">
      <c r="C39" s="280"/>
      <c r="K39" s="428"/>
      <c r="L39" s="428"/>
      <c r="M39" s="428"/>
      <c r="N39" s="428"/>
      <c r="O39" s="428"/>
      <c r="P39" s="377" t="s">
        <v>137</v>
      </c>
      <c r="Q39" s="329"/>
      <c r="R39" s="330" t="str">
        <f>IF(ISBLANK(Q39),"",VLOOKUP(Q39,各艇データ,2,FALSE))</f>
        <v/>
      </c>
      <c r="S39" s="370"/>
      <c r="T39" s="370"/>
      <c r="U39" s="370"/>
      <c r="Z39" s="280"/>
      <c r="AH39" s="428"/>
      <c r="AI39" s="428"/>
      <c r="AJ39" s="428"/>
      <c r="AK39" s="428"/>
    </row>
    <row r="40" spans="2:37" s="284" customFormat="1" ht="14.25">
      <c r="C40" s="280"/>
      <c r="J40" s="525" t="s">
        <v>120</v>
      </c>
      <c r="K40" s="525"/>
      <c r="L40" s="525"/>
      <c r="M40" s="525"/>
      <c r="N40" s="429"/>
      <c r="O40" s="430"/>
      <c r="P40" s="377" t="s">
        <v>138</v>
      </c>
      <c r="Q40" s="329"/>
      <c r="R40" s="330" t="str">
        <f>IF(ISBLANK(Q40),"",VLOOKUP(Q40,各艇データ,2,FALSE))</f>
        <v/>
      </c>
      <c r="S40" s="370"/>
      <c r="T40" s="370"/>
      <c r="U40" s="370"/>
      <c r="Z40" s="280"/>
      <c r="AG40" s="525" t="s">
        <v>120</v>
      </c>
      <c r="AH40" s="525"/>
      <c r="AI40" s="525"/>
      <c r="AJ40" s="525"/>
      <c r="AK40" s="429"/>
    </row>
    <row r="41" spans="2:37" s="284" customFormat="1" ht="15" thickBot="1">
      <c r="C41" s="280"/>
      <c r="P41" s="389" t="s">
        <v>139</v>
      </c>
      <c r="Q41" s="331"/>
      <c r="R41" s="421" t="s">
        <v>88</v>
      </c>
      <c r="S41" s="390"/>
      <c r="T41" s="390"/>
      <c r="U41" s="390"/>
      <c r="Z41" s="280"/>
    </row>
    <row r="42" spans="2:37" s="284" customFormat="1" ht="15" thickTop="1">
      <c r="C42" s="280"/>
      <c r="D42" s="431"/>
      <c r="E42" s="432"/>
      <c r="F42" s="432"/>
      <c r="G42" s="432"/>
      <c r="H42" s="432"/>
      <c r="I42" s="433"/>
      <c r="Z42" s="280"/>
      <c r="AA42" s="431"/>
      <c r="AB42" s="432"/>
      <c r="AC42" s="432"/>
      <c r="AD42" s="432"/>
      <c r="AE42" s="432"/>
      <c r="AF42" s="433"/>
    </row>
    <row r="43" spans="2:37" s="284" customFormat="1" ht="14.25">
      <c r="C43" s="280"/>
      <c r="D43" s="434" t="s">
        <v>121</v>
      </c>
      <c r="E43" s="435"/>
      <c r="I43" s="436"/>
      <c r="T43" s="284" t="s">
        <v>120</v>
      </c>
      <c r="Z43" s="280"/>
      <c r="AA43" s="434" t="s">
        <v>121</v>
      </c>
      <c r="AB43" s="435"/>
      <c r="AF43" s="436"/>
    </row>
    <row r="44" spans="2:37" s="284" customFormat="1" ht="14.25">
      <c r="C44" s="280"/>
      <c r="D44" s="526" t="s">
        <v>203</v>
      </c>
      <c r="E44" s="527"/>
      <c r="I44" s="436"/>
      <c r="Z44" s="280"/>
      <c r="AA44" s="526" t="s">
        <v>203</v>
      </c>
      <c r="AB44" s="527"/>
      <c r="AF44" s="436"/>
    </row>
    <row r="45" spans="2:37" s="284" customFormat="1" ht="14.25">
      <c r="C45" s="280"/>
      <c r="D45" s="526" t="s">
        <v>204</v>
      </c>
      <c r="E45" s="527"/>
      <c r="I45" s="436"/>
      <c r="Z45" s="280"/>
      <c r="AA45" s="526" t="s">
        <v>204</v>
      </c>
      <c r="AB45" s="527"/>
      <c r="AF45" s="436"/>
    </row>
    <row r="46" spans="2:37" s="284" customFormat="1" ht="14.25">
      <c r="C46" s="280"/>
      <c r="D46" s="434" t="s">
        <v>128</v>
      </c>
      <c r="E46" s="437" t="s">
        <v>205</v>
      </c>
      <c r="F46" s="438"/>
      <c r="G46" s="438"/>
      <c r="H46" s="438"/>
      <c r="I46" s="436"/>
      <c r="Z46" s="280"/>
      <c r="AA46" s="434" t="s">
        <v>128</v>
      </c>
      <c r="AB46" s="437" t="s">
        <v>205</v>
      </c>
      <c r="AC46" s="438"/>
      <c r="AD46" s="438"/>
      <c r="AE46" s="438"/>
      <c r="AF46" s="436"/>
    </row>
    <row r="47" spans="2:37" s="284" customFormat="1" ht="14.25">
      <c r="C47" s="280"/>
      <c r="D47" s="434" t="s">
        <v>129</v>
      </c>
      <c r="E47" s="437" t="s">
        <v>206</v>
      </c>
      <c r="F47" s="438"/>
      <c r="G47" s="438"/>
      <c r="H47" s="438"/>
      <c r="I47" s="436"/>
      <c r="K47" s="439"/>
      <c r="Z47" s="280"/>
      <c r="AA47" s="434" t="s">
        <v>129</v>
      </c>
      <c r="AB47" s="437" t="s">
        <v>206</v>
      </c>
      <c r="AC47" s="438"/>
      <c r="AD47" s="438"/>
      <c r="AE47" s="438"/>
      <c r="AF47" s="436"/>
      <c r="AH47" s="439"/>
    </row>
    <row r="48" spans="2:37" s="284" customFormat="1" ht="15" thickBot="1">
      <c r="C48" s="280"/>
      <c r="D48" s="440"/>
      <c r="E48" s="441"/>
      <c r="F48" s="441"/>
      <c r="G48" s="441"/>
      <c r="H48" s="441"/>
      <c r="I48" s="442"/>
      <c r="Z48" s="280"/>
      <c r="AA48" s="440"/>
      <c r="AB48" s="441"/>
      <c r="AC48" s="441"/>
      <c r="AD48" s="441"/>
      <c r="AE48" s="441"/>
      <c r="AF48" s="442"/>
    </row>
    <row r="49" spans="3:26" s="284" customFormat="1" ht="15" thickTop="1">
      <c r="C49" s="280"/>
      <c r="Z49" s="280"/>
    </row>
  </sheetData>
  <sheetProtection algorithmName="SHA-512" hashValue="wBmYXHUC7tWczlO23hX4k3HqP+tWGJcLxpPEIA/MAAbznLpXLpDTimlGc56xxqWUaWDQsG/836U9kZR9Ia6IwQ==" saltValue="6n4E/E8lmth4CdEjGjqRsA==" spinCount="100000" sheet="1" objects="1" scenarios="1"/>
  <sortState ref="C7:K30">
    <sortCondition descending="1" ref="K7:K30"/>
  </sortState>
  <mergeCells count="27">
    <mergeCell ref="D45:E45"/>
    <mergeCell ref="J3:M3"/>
    <mergeCell ref="B37:D37"/>
    <mergeCell ref="J40:M40"/>
    <mergeCell ref="P2:U2"/>
    <mergeCell ref="B2:M2"/>
    <mergeCell ref="D44:E44"/>
    <mergeCell ref="B1:M1"/>
    <mergeCell ref="B4:B6"/>
    <mergeCell ref="C4:C6"/>
    <mergeCell ref="D4:D6"/>
    <mergeCell ref="K4:K6"/>
    <mergeCell ref="L4:L6"/>
    <mergeCell ref="M4:M6"/>
    <mergeCell ref="Y37:AA37"/>
    <mergeCell ref="AG40:AJ40"/>
    <mergeCell ref="AA44:AB44"/>
    <mergeCell ref="AA45:AB45"/>
    <mergeCell ref="Y1:AJ1"/>
    <mergeCell ref="Y2:AJ2"/>
    <mergeCell ref="AG3:AJ3"/>
    <mergeCell ref="Y4:Y6"/>
    <mergeCell ref="Z4:Z6"/>
    <mergeCell ref="AA4:AA6"/>
    <mergeCell ref="AH4:AH6"/>
    <mergeCell ref="AI4:AI6"/>
    <mergeCell ref="AJ4:AJ6"/>
  </mergeCells>
  <phoneticPr fontId="3"/>
  <dataValidations count="3">
    <dataValidation type="list" allowBlank="1" showInputMessage="1" showErrorMessage="1" sqref="E6:J6 AB6:AG6">
      <formula1>コース</formula1>
    </dataValidation>
    <dataValidation type="list" allowBlank="1" showInputMessage="1" showErrorMessage="1" sqref="E4:J4 AB4:AG4 N4">
      <formula1>レース番号</formula1>
    </dataValidation>
    <dataValidation type="list" allowBlank="1" showInputMessage="1" showErrorMessage="1" sqref="E5:J5 AB5:AG5">
      <formula1>開催日</formula1>
    </dataValidation>
  </dataValidations>
  <pageMargins left="0.51181102362204722" right="0.31496062992125984" top="0.74803149606299213" bottom="0.74803149606299213" header="0.31496062992125984" footer="0.31496062992125984"/>
  <pageSetup paperSize="9" orientation="portrait" horizontalDpi="4294967293"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workbookViewId="0">
      <selection activeCell="L4" sqref="L4"/>
    </sheetView>
  </sheetViews>
  <sheetFormatPr defaultRowHeight="13.5"/>
  <cols>
    <col min="1" max="1" width="2.5" customWidth="1"/>
    <col min="2" max="13" width="8.375" customWidth="1"/>
    <col min="14" max="14" width="9.25" customWidth="1"/>
    <col min="15" max="15" width="7.625" customWidth="1"/>
    <col min="16" max="16" width="15.125" customWidth="1"/>
    <col min="17" max="17" width="13.875" customWidth="1"/>
    <col min="18" max="18" width="13.75" bestFit="1" customWidth="1"/>
    <col min="19" max="19" width="12.5" customWidth="1"/>
  </cols>
  <sheetData>
    <row r="1" spans="2:20" s="3" customFormat="1" ht="14.25" customHeight="1">
      <c r="B1" s="570"/>
      <c r="C1" s="570"/>
      <c r="D1" s="570"/>
      <c r="E1" s="570"/>
      <c r="F1" s="570"/>
      <c r="G1" s="570"/>
      <c r="H1" s="570"/>
      <c r="I1" s="570"/>
      <c r="J1" s="570"/>
      <c r="K1" s="570"/>
      <c r="L1" s="570"/>
      <c r="O1" s="567" t="s">
        <v>317</v>
      </c>
      <c r="P1" s="567"/>
      <c r="Q1" s="567"/>
      <c r="R1" s="567"/>
      <c r="S1" s="567"/>
      <c r="T1" s="107"/>
    </row>
    <row r="2" spans="2:20" s="64" customFormat="1" ht="20.25" customHeight="1">
      <c r="B2" s="571" t="s">
        <v>130</v>
      </c>
      <c r="C2" s="571"/>
      <c r="D2" s="571"/>
      <c r="E2" s="571"/>
      <c r="F2" s="571"/>
      <c r="G2" s="571"/>
      <c r="H2" s="571"/>
      <c r="I2" s="571"/>
      <c r="J2" s="571"/>
      <c r="K2" s="571"/>
      <c r="L2" s="571"/>
      <c r="M2" s="571"/>
      <c r="O2" s="106"/>
      <c r="P2" s="106"/>
      <c r="Q2" s="106"/>
      <c r="R2" s="108"/>
      <c r="S2" s="106"/>
      <c r="T2" s="107"/>
    </row>
    <row r="3" spans="2:20" s="3" customFormat="1" ht="21" customHeight="1">
      <c r="B3" s="572"/>
      <c r="C3" s="572"/>
      <c r="D3" s="572"/>
      <c r="E3" s="572"/>
      <c r="F3" s="572"/>
      <c r="G3" s="572"/>
      <c r="H3" s="572"/>
      <c r="I3" s="572"/>
      <c r="J3" s="572"/>
      <c r="K3" s="572"/>
      <c r="L3" s="573" t="s">
        <v>402</v>
      </c>
      <c r="M3" s="574"/>
      <c r="O3" s="109"/>
      <c r="P3" s="109"/>
      <c r="Q3" s="109"/>
      <c r="R3" s="109"/>
      <c r="S3" s="107" t="s">
        <v>168</v>
      </c>
    </row>
    <row r="4" spans="2:20" s="3" customFormat="1" ht="20.25" customHeight="1">
      <c r="B4" s="67" t="str">
        <f>参照ﾃﾞｰﾀ!AI4</f>
        <v>＃525</v>
      </c>
      <c r="C4" s="68" t="s">
        <v>148</v>
      </c>
      <c r="D4" s="67" t="str">
        <f>参照ﾃﾞｰﾀ!AI5</f>
        <v>＃526</v>
      </c>
      <c r="E4" s="68" t="s">
        <v>74</v>
      </c>
      <c r="F4" s="67" t="str">
        <f>参照ﾃﾞｰﾀ!AI6</f>
        <v>＃527</v>
      </c>
      <c r="G4" s="68" t="s">
        <v>74</v>
      </c>
      <c r="H4" s="67" t="str">
        <f>参照ﾃﾞｰﾀ!AI7</f>
        <v>＃528</v>
      </c>
      <c r="I4" s="68" t="s">
        <v>309</v>
      </c>
      <c r="J4" s="67" t="str">
        <f>参照ﾃﾞｰﾀ!AI8</f>
        <v>＃529</v>
      </c>
      <c r="K4" s="68" t="s">
        <v>47</v>
      </c>
      <c r="L4" s="67" t="str">
        <f>参照ﾃﾞｰﾀ!AI9</f>
        <v>＃530</v>
      </c>
      <c r="M4" s="69" t="s">
        <v>202</v>
      </c>
      <c r="O4" s="110"/>
      <c r="P4" s="110"/>
      <c r="Q4" s="110"/>
      <c r="R4" s="110"/>
      <c r="S4" s="110"/>
      <c r="T4" s="111"/>
    </row>
    <row r="5" spans="2:20" s="65" customFormat="1" ht="46.5" customHeight="1">
      <c r="B5" s="565">
        <f>参照ﾃﾞｰﾀ!$T4</f>
        <v>43485</v>
      </c>
      <c r="C5" s="566"/>
      <c r="D5" s="565">
        <f>参照ﾃﾞｰﾀ!$T5</f>
        <v>43513</v>
      </c>
      <c r="E5" s="566"/>
      <c r="F5" s="565">
        <f>参照ﾃﾞｰﾀ!$T6</f>
        <v>43541</v>
      </c>
      <c r="G5" s="566"/>
      <c r="H5" s="565">
        <f>参照ﾃﾞｰﾀ!$T7</f>
        <v>43211</v>
      </c>
      <c r="I5" s="566"/>
      <c r="J5" s="565">
        <f>参照ﾃﾞｰﾀ!$T8</f>
        <v>43239</v>
      </c>
      <c r="K5" s="566"/>
      <c r="L5" s="565">
        <f>参照ﾃﾞｰﾀ!T9</f>
        <v>43632</v>
      </c>
      <c r="M5" s="566"/>
      <c r="O5" s="568" t="s">
        <v>169</v>
      </c>
      <c r="P5" s="569"/>
      <c r="Q5" s="112" t="s">
        <v>52</v>
      </c>
      <c r="R5" s="112" t="s">
        <v>170</v>
      </c>
      <c r="S5" s="112" t="s">
        <v>171</v>
      </c>
      <c r="T5" s="111"/>
    </row>
    <row r="6" spans="2:20" s="3" customFormat="1" ht="21" customHeight="1">
      <c r="B6" s="70" t="s">
        <v>131</v>
      </c>
      <c r="C6" s="71" t="s">
        <v>90</v>
      </c>
      <c r="D6" s="70" t="s">
        <v>131</v>
      </c>
      <c r="E6" s="71" t="s">
        <v>90</v>
      </c>
      <c r="F6" s="70" t="s">
        <v>131</v>
      </c>
      <c r="G6" s="71" t="s">
        <v>90</v>
      </c>
      <c r="H6" s="70" t="s">
        <v>131</v>
      </c>
      <c r="I6" s="71" t="s">
        <v>90</v>
      </c>
      <c r="J6" s="70" t="s">
        <v>131</v>
      </c>
      <c r="K6" s="71" t="s">
        <v>90</v>
      </c>
      <c r="L6" s="70" t="s">
        <v>131</v>
      </c>
      <c r="M6" s="71" t="s">
        <v>90</v>
      </c>
      <c r="O6" s="113" t="s">
        <v>172</v>
      </c>
      <c r="P6" s="172">
        <f>参照ﾃﾞｰﾀ!AJ4</f>
        <v>43485</v>
      </c>
      <c r="Q6" s="172" t="str">
        <f>参照ﾃﾞｰﾀ!AK4</f>
        <v>K</v>
      </c>
      <c r="R6" s="172" t="str">
        <f>参照ﾃﾞｰﾀ!AL4</f>
        <v>はやとり</v>
      </c>
      <c r="S6" s="172" t="str">
        <f>参照ﾃﾞｰﾀ!AM4</f>
        <v>アルファ</v>
      </c>
      <c r="T6" s="108"/>
    </row>
    <row r="7" spans="2:20" s="3" customFormat="1" ht="18" customHeight="1">
      <c r="B7" s="72" t="s">
        <v>336</v>
      </c>
      <c r="C7" s="73" t="s">
        <v>334</v>
      </c>
      <c r="D7" s="72" t="s">
        <v>349</v>
      </c>
      <c r="E7" s="73" t="s">
        <v>350</v>
      </c>
      <c r="F7" s="72" t="s">
        <v>364</v>
      </c>
      <c r="G7" s="74" t="s">
        <v>365</v>
      </c>
      <c r="H7" s="75" t="s">
        <v>382</v>
      </c>
      <c r="I7" s="73" t="s">
        <v>380</v>
      </c>
      <c r="J7" s="75" t="s">
        <v>390</v>
      </c>
      <c r="K7" s="73" t="s">
        <v>388</v>
      </c>
      <c r="L7" s="72" t="s">
        <v>398</v>
      </c>
      <c r="M7" s="73" t="s">
        <v>400</v>
      </c>
      <c r="O7" s="113" t="s">
        <v>173</v>
      </c>
      <c r="P7" s="172">
        <f>参照ﾃﾞｰﾀ!AJ5</f>
        <v>43513</v>
      </c>
      <c r="Q7" s="172" t="str">
        <f>参照ﾃﾞｰﾀ!AK5</f>
        <v>E</v>
      </c>
      <c r="R7" s="448" t="str">
        <f>参照ﾃﾞｰﾀ!AL5</f>
        <v>テティス</v>
      </c>
      <c r="S7" s="114"/>
      <c r="T7" s="108"/>
    </row>
    <row r="8" spans="2:20" s="3" customFormat="1" ht="18" customHeight="1">
      <c r="B8" s="76" t="s">
        <v>337</v>
      </c>
      <c r="C8" s="77" t="s">
        <v>335</v>
      </c>
      <c r="D8" s="76" t="s">
        <v>351</v>
      </c>
      <c r="E8" s="73" t="s">
        <v>350</v>
      </c>
      <c r="F8" s="76" t="s">
        <v>366</v>
      </c>
      <c r="G8" s="77" t="s">
        <v>365</v>
      </c>
      <c r="H8" s="78" t="s">
        <v>383</v>
      </c>
      <c r="I8" s="73" t="s">
        <v>381</v>
      </c>
      <c r="J8" s="78" t="s">
        <v>392</v>
      </c>
      <c r="K8" s="77" t="s">
        <v>388</v>
      </c>
      <c r="L8" s="76" t="s">
        <v>399</v>
      </c>
      <c r="M8" s="77" t="s">
        <v>401</v>
      </c>
      <c r="O8" s="113" t="s">
        <v>174</v>
      </c>
      <c r="P8" s="172">
        <f>参照ﾃﾞｰﾀ!AJ6</f>
        <v>43541</v>
      </c>
      <c r="Q8" s="172" t="str">
        <f>参照ﾃﾞｰﾀ!AK6</f>
        <v>H</v>
      </c>
      <c r="R8" s="448" t="str">
        <f>参照ﾃﾞｰﾀ!AL6</f>
        <v>フェニックス</v>
      </c>
      <c r="S8" s="114"/>
      <c r="T8" s="108"/>
    </row>
    <row r="9" spans="2:20" s="3" customFormat="1" ht="18" customHeight="1">
      <c r="B9" s="79" t="s">
        <v>338</v>
      </c>
      <c r="C9" s="77" t="s">
        <v>339</v>
      </c>
      <c r="D9" s="79" t="s">
        <v>354</v>
      </c>
      <c r="E9" s="73" t="s">
        <v>350</v>
      </c>
      <c r="F9" s="76" t="s">
        <v>367</v>
      </c>
      <c r="G9" s="77" t="s">
        <v>365</v>
      </c>
      <c r="H9" s="79"/>
      <c r="I9" s="77"/>
      <c r="J9" s="80" t="s">
        <v>397</v>
      </c>
      <c r="K9" s="77" t="s">
        <v>388</v>
      </c>
      <c r="L9" s="79"/>
      <c r="M9" s="77"/>
      <c r="O9" s="113" t="s">
        <v>175</v>
      </c>
      <c r="P9" s="172">
        <f>参照ﾃﾞｰﾀ!AJ7</f>
        <v>43211</v>
      </c>
      <c r="Q9" s="172" t="str">
        <f>参照ﾃﾞｰﾀ!AK7</f>
        <v>Eまたは合同</v>
      </c>
      <c r="R9" s="448" t="str">
        <f>参照ﾃﾞｰﾀ!AL7</f>
        <v>かまくら</v>
      </c>
      <c r="S9" s="114"/>
      <c r="T9" s="108"/>
    </row>
    <row r="10" spans="2:20" s="3" customFormat="1" ht="18" customHeight="1">
      <c r="B10" s="79"/>
      <c r="C10" s="77"/>
      <c r="D10" s="79" t="s">
        <v>355</v>
      </c>
      <c r="E10" s="73" t="s">
        <v>356</v>
      </c>
      <c r="F10" s="76" t="s">
        <v>368</v>
      </c>
      <c r="G10" s="77" t="s">
        <v>365</v>
      </c>
      <c r="H10" s="80"/>
      <c r="I10" s="77"/>
      <c r="J10" s="80"/>
      <c r="K10" s="77" t="s">
        <v>388</v>
      </c>
      <c r="L10" s="79"/>
      <c r="M10" s="77"/>
      <c r="O10" s="113" t="s">
        <v>176</v>
      </c>
      <c r="P10" s="172">
        <f>参照ﾃﾞｰﾀ!AJ8</f>
        <v>43239</v>
      </c>
      <c r="Q10" s="172" t="str">
        <f>参照ﾃﾞｰﾀ!AK8</f>
        <v>初島</v>
      </c>
      <c r="R10" s="448" t="str">
        <f>参照ﾃﾞｰﾀ!AL8</f>
        <v>波勝</v>
      </c>
      <c r="S10" s="114"/>
      <c r="T10" s="108"/>
    </row>
    <row r="11" spans="2:20" s="3" customFormat="1" ht="18" customHeight="1">
      <c r="B11" s="79"/>
      <c r="C11" s="77"/>
      <c r="D11" s="79" t="s">
        <v>352</v>
      </c>
      <c r="E11" s="73" t="s">
        <v>353</v>
      </c>
      <c r="F11" s="76" t="s">
        <v>369</v>
      </c>
      <c r="G11" s="77" t="s">
        <v>365</v>
      </c>
      <c r="H11" s="80"/>
      <c r="I11" s="77"/>
      <c r="J11" s="80"/>
      <c r="K11" s="77" t="s">
        <v>388</v>
      </c>
      <c r="L11" s="79"/>
      <c r="M11" s="73"/>
      <c r="O11" s="113" t="s">
        <v>177</v>
      </c>
      <c r="P11" s="172">
        <f>参照ﾃﾞｰﾀ!AJ9</f>
        <v>43632</v>
      </c>
      <c r="Q11" s="172" t="str">
        <f>参照ﾃﾞｰﾀ!AK9</f>
        <v>E</v>
      </c>
      <c r="R11" s="448" t="str">
        <f>参照ﾃﾞｰﾀ!AL9</f>
        <v>ケロニア</v>
      </c>
      <c r="S11" s="114"/>
      <c r="T11" s="108"/>
    </row>
    <row r="12" spans="2:20" s="3" customFormat="1" ht="18" customHeight="1">
      <c r="B12" s="79"/>
      <c r="C12" s="77"/>
      <c r="D12" s="79"/>
      <c r="E12" s="73"/>
      <c r="F12" s="76" t="s">
        <v>370</v>
      </c>
      <c r="G12" s="73" t="s">
        <v>371</v>
      </c>
      <c r="H12" s="80"/>
      <c r="I12" s="77"/>
      <c r="J12" s="79" t="s">
        <v>391</v>
      </c>
      <c r="K12" s="77" t="s">
        <v>389</v>
      </c>
      <c r="L12" s="79"/>
      <c r="M12" s="77"/>
      <c r="O12" s="113" t="s">
        <v>178</v>
      </c>
      <c r="P12" s="172">
        <f>参照ﾃﾞｰﾀ!AJ10</f>
        <v>43667</v>
      </c>
      <c r="Q12" s="172" t="str">
        <f>参照ﾃﾞｰﾀ!AK10</f>
        <v>FまたはA</v>
      </c>
      <c r="R12" s="448" t="str">
        <f>参照ﾃﾞｰﾀ!AL10</f>
        <v>飛車角</v>
      </c>
      <c r="S12" s="114"/>
      <c r="T12" s="108"/>
    </row>
    <row r="13" spans="2:20" s="3" customFormat="1" ht="18" customHeight="1">
      <c r="B13" s="79"/>
      <c r="C13" s="77"/>
      <c r="D13" s="79"/>
      <c r="E13" s="77"/>
      <c r="F13" s="79"/>
      <c r="G13" s="77"/>
      <c r="H13" s="80"/>
      <c r="I13" s="77"/>
      <c r="J13" s="80"/>
      <c r="K13" s="77"/>
      <c r="L13" s="79"/>
      <c r="M13" s="77"/>
      <c r="O13" s="113" t="s">
        <v>179</v>
      </c>
      <c r="P13" s="172">
        <f>参照ﾃﾞｰﾀ!AJ11</f>
        <v>43695</v>
      </c>
      <c r="Q13" s="172" t="str">
        <f>参照ﾃﾞｰﾀ!AK11</f>
        <v>DまたはE</v>
      </c>
      <c r="R13" s="448" t="str">
        <f>参照ﾃﾞｰﾀ!AL11</f>
        <v>衣笠</v>
      </c>
      <c r="S13" s="114"/>
      <c r="T13" s="108"/>
    </row>
    <row r="14" spans="2:20" s="3" customFormat="1" ht="18" customHeight="1">
      <c r="B14" s="79"/>
      <c r="C14" s="77"/>
      <c r="D14" s="79"/>
      <c r="E14" s="77"/>
      <c r="F14" s="79"/>
      <c r="G14" s="77"/>
      <c r="H14" s="80"/>
      <c r="I14" s="77"/>
      <c r="J14" s="80"/>
      <c r="K14" s="77"/>
      <c r="L14" s="79"/>
      <c r="M14" s="77"/>
      <c r="O14" s="113" t="s">
        <v>180</v>
      </c>
      <c r="P14" s="172">
        <f>参照ﾃﾞｰﾀ!AJ12</f>
        <v>43709</v>
      </c>
      <c r="Q14" s="172" t="str">
        <f>参照ﾃﾞｰﾀ!AK12</f>
        <v>KFRランデブー</v>
      </c>
      <c r="R14" s="448" t="str">
        <f>参照ﾃﾞｰﾀ!AL12</f>
        <v>別途</v>
      </c>
      <c r="S14" s="114"/>
      <c r="T14" s="108"/>
    </row>
    <row r="15" spans="2:20" s="3" customFormat="1" ht="18" customHeight="1">
      <c r="B15" s="79"/>
      <c r="C15" s="77"/>
      <c r="D15" s="79"/>
      <c r="E15" s="77"/>
      <c r="F15" s="79"/>
      <c r="G15" s="77"/>
      <c r="H15" s="81"/>
      <c r="I15" s="77"/>
      <c r="J15" s="81"/>
      <c r="K15" s="77"/>
      <c r="L15" s="79"/>
      <c r="M15" s="77"/>
      <c r="O15" s="113" t="s">
        <v>180</v>
      </c>
      <c r="P15" s="172">
        <f>参照ﾃﾞｰﾀ!AJ13</f>
        <v>43723</v>
      </c>
      <c r="Q15" s="172" t="str">
        <f>参照ﾃﾞｰﾀ!AK13</f>
        <v>JまたはH</v>
      </c>
      <c r="R15" s="448" t="str">
        <f>参照ﾃﾞｰﾀ!AL13</f>
        <v>ネプチューン</v>
      </c>
      <c r="S15" s="448">
        <f>参照ﾃﾞｰﾀ!AM13</f>
        <v>0</v>
      </c>
      <c r="T15" s="108"/>
    </row>
    <row r="16" spans="2:20" s="3" customFormat="1" ht="18" customHeight="1">
      <c r="B16" s="82"/>
      <c r="C16" s="83"/>
      <c r="D16" s="82"/>
      <c r="E16" s="83"/>
      <c r="F16" s="79"/>
      <c r="G16" s="77"/>
      <c r="H16" s="84"/>
      <c r="I16" s="83"/>
      <c r="J16" s="84"/>
      <c r="K16" s="83"/>
      <c r="L16" s="82"/>
      <c r="M16" s="83"/>
      <c r="O16" s="113" t="s">
        <v>181</v>
      </c>
      <c r="P16" s="172">
        <f>参照ﾃﾞｰﾀ!AJ14</f>
        <v>43758</v>
      </c>
      <c r="Q16" s="172" t="str">
        <f>参照ﾃﾞｰﾀ!AK14</f>
        <v>E</v>
      </c>
      <c r="R16" s="448" t="str">
        <f>参照ﾃﾞｰﾀ!AL14</f>
        <v>ネプチューン</v>
      </c>
      <c r="S16" s="114"/>
      <c r="T16" s="108"/>
    </row>
    <row r="17" spans="2:20" s="3" customFormat="1" ht="18" customHeight="1">
      <c r="B17" s="85"/>
      <c r="C17" s="86"/>
      <c r="D17" s="85"/>
      <c r="E17" s="86"/>
      <c r="F17" s="85"/>
      <c r="G17" s="86"/>
      <c r="H17" s="87"/>
      <c r="I17" s="86"/>
      <c r="J17" s="87"/>
      <c r="K17" s="86"/>
      <c r="L17" s="85"/>
      <c r="M17" s="86"/>
      <c r="O17" s="113" t="s">
        <v>182</v>
      </c>
      <c r="P17" s="172">
        <f>参照ﾃﾞｰﾀ!AJ15</f>
        <v>43786</v>
      </c>
      <c r="Q17" s="172" t="str">
        <f>参照ﾃﾞｰﾀ!AK15</f>
        <v>H</v>
      </c>
      <c r="R17" s="448" t="str">
        <f>参照ﾃﾞｰﾀ!AL15</f>
        <v>未央</v>
      </c>
      <c r="S17" s="114"/>
      <c r="T17" s="108"/>
    </row>
    <row r="18" spans="2:20" s="3" customFormat="1" ht="15.75">
      <c r="B18" s="88"/>
      <c r="C18" s="66"/>
      <c r="D18" s="66"/>
      <c r="E18" s="66"/>
      <c r="F18" s="66"/>
      <c r="G18" s="66"/>
      <c r="H18" s="66"/>
      <c r="I18" s="66"/>
      <c r="J18" s="66"/>
      <c r="K18" s="66"/>
      <c r="L18" s="66"/>
      <c r="M18" s="66"/>
      <c r="O18" s="113" t="s">
        <v>183</v>
      </c>
      <c r="P18" s="172">
        <f>参照ﾃﾞｰﾀ!AJ16</f>
        <v>43814</v>
      </c>
      <c r="Q18" s="172" t="str">
        <f>参照ﾃﾞｰﾀ!AK16</f>
        <v>E</v>
      </c>
      <c r="R18" s="448" t="str">
        <f>参照ﾃﾞｰﾀ!AL16</f>
        <v>くろしお</v>
      </c>
      <c r="S18" s="114"/>
      <c r="T18" s="108"/>
    </row>
    <row r="19" spans="2:20" s="3" customFormat="1" ht="21" customHeight="1">
      <c r="B19" s="94" t="str">
        <f>参照ﾃﾞｰﾀ!AI10</f>
        <v>＃531</v>
      </c>
      <c r="C19" s="68" t="s">
        <v>74</v>
      </c>
      <c r="D19" s="94" t="str">
        <f>参照ﾃﾞｰﾀ!AI11</f>
        <v>＃532</v>
      </c>
      <c r="E19" s="68" t="s">
        <v>315</v>
      </c>
      <c r="F19" s="94" t="str">
        <f>参照ﾃﾞｰﾀ!AI13</f>
        <v>＃534</v>
      </c>
      <c r="G19" s="118" t="s">
        <v>316</v>
      </c>
      <c r="H19" s="94" t="str">
        <f>参照ﾃﾞｰﾀ!AI14</f>
        <v>＃535</v>
      </c>
      <c r="I19" s="68" t="s">
        <v>74</v>
      </c>
      <c r="J19" s="94" t="str">
        <f>参照ﾃﾞｰﾀ!AI15</f>
        <v>＃536</v>
      </c>
      <c r="K19" s="68" t="s">
        <v>240</v>
      </c>
      <c r="L19" s="94" t="str">
        <f>参照ﾃﾞｰﾀ!AI16</f>
        <v>＃537</v>
      </c>
      <c r="M19" s="69" t="s">
        <v>208</v>
      </c>
      <c r="O19" s="115"/>
      <c r="P19" s="115"/>
      <c r="Q19" s="108"/>
      <c r="R19" s="116"/>
      <c r="S19" s="108"/>
      <c r="T19" s="108"/>
    </row>
    <row r="20" spans="2:20" s="3" customFormat="1" ht="46.5" customHeight="1">
      <c r="B20" s="565">
        <f>参照ﾃﾞｰﾀ!$T10</f>
        <v>43667</v>
      </c>
      <c r="C20" s="566"/>
      <c r="D20" s="565">
        <f>参照ﾃﾞｰﾀ!$T11</f>
        <v>43695</v>
      </c>
      <c r="E20" s="566"/>
      <c r="F20" s="565">
        <f>参照ﾃﾞｰﾀ!$T13</f>
        <v>43723</v>
      </c>
      <c r="G20" s="566"/>
      <c r="H20" s="565">
        <f>参照ﾃﾞｰﾀ!$T14</f>
        <v>43758</v>
      </c>
      <c r="I20" s="566"/>
      <c r="J20" s="565">
        <f>参照ﾃﾞｰﾀ!$T15</f>
        <v>43786</v>
      </c>
      <c r="K20" s="566"/>
      <c r="L20" s="565">
        <f>参照ﾃﾞｰﾀ!$T16</f>
        <v>43814</v>
      </c>
      <c r="M20" s="566"/>
      <c r="O20" s="115"/>
      <c r="P20" s="115"/>
      <c r="Q20" s="108"/>
      <c r="R20" s="108"/>
      <c r="S20" s="108"/>
      <c r="T20" s="108"/>
    </row>
    <row r="21" spans="2:20" s="3" customFormat="1" ht="21" customHeight="1">
      <c r="B21" s="70" t="s">
        <v>131</v>
      </c>
      <c r="C21" s="71" t="s">
        <v>90</v>
      </c>
      <c r="D21" s="70" t="s">
        <v>131</v>
      </c>
      <c r="E21" s="71" t="s">
        <v>90</v>
      </c>
      <c r="F21" s="70" t="s">
        <v>131</v>
      </c>
      <c r="G21" s="71" t="s">
        <v>90</v>
      </c>
      <c r="H21" s="70" t="s">
        <v>131</v>
      </c>
      <c r="I21" s="71" t="s">
        <v>90</v>
      </c>
      <c r="J21" s="70" t="s">
        <v>131</v>
      </c>
      <c r="K21" s="71" t="s">
        <v>90</v>
      </c>
      <c r="L21" s="70" t="s">
        <v>131</v>
      </c>
      <c r="M21" s="71" t="s">
        <v>90</v>
      </c>
      <c r="O21" s="115"/>
      <c r="P21" s="117"/>
      <c r="Q21" s="108"/>
      <c r="R21" s="108"/>
      <c r="S21" s="108"/>
      <c r="T21" s="108"/>
    </row>
    <row r="22" spans="2:20" s="3" customFormat="1" ht="18" customHeight="1">
      <c r="B22" s="72"/>
      <c r="C22" s="73"/>
      <c r="D22" s="72"/>
      <c r="E22" s="73"/>
      <c r="F22" s="79"/>
      <c r="G22" s="77"/>
      <c r="H22" s="79"/>
      <c r="I22" s="77"/>
      <c r="J22" s="130"/>
      <c r="K22" s="77"/>
      <c r="L22" s="72"/>
      <c r="M22" s="73"/>
      <c r="O22" s="115"/>
      <c r="P22" s="111"/>
      <c r="Q22" s="108"/>
      <c r="R22" s="108"/>
      <c r="S22" s="108"/>
      <c r="T22" s="108"/>
    </row>
    <row r="23" spans="2:20" s="3" customFormat="1" ht="18" customHeight="1">
      <c r="B23" s="76"/>
      <c r="C23" s="73"/>
      <c r="D23" s="76"/>
      <c r="E23" s="77"/>
      <c r="F23" s="76"/>
      <c r="G23" s="77"/>
      <c r="H23" s="76"/>
      <c r="I23" s="77"/>
      <c r="J23" s="130"/>
      <c r="K23" s="77"/>
      <c r="L23" s="76"/>
      <c r="M23" s="73"/>
      <c r="O23" s="115"/>
      <c r="P23" s="111"/>
      <c r="Q23" s="108"/>
      <c r="R23" s="108"/>
      <c r="S23" s="108"/>
      <c r="T23" s="108"/>
    </row>
    <row r="24" spans="2:20" s="3" customFormat="1" ht="18" customHeight="1">
      <c r="B24" s="79"/>
      <c r="C24" s="77"/>
      <c r="D24" s="79"/>
      <c r="E24" s="77"/>
      <c r="F24" s="79"/>
      <c r="G24" s="77"/>
      <c r="H24" s="79"/>
      <c r="I24" s="77"/>
      <c r="J24" s="130"/>
      <c r="K24" s="77"/>
      <c r="L24" s="79"/>
      <c r="M24" s="73"/>
      <c r="O24" s="115"/>
      <c r="P24" s="111"/>
      <c r="Q24" s="108"/>
      <c r="R24" s="108"/>
      <c r="S24" s="108"/>
      <c r="T24" s="108"/>
    </row>
    <row r="25" spans="2:20" s="3" customFormat="1" ht="18" customHeight="1">
      <c r="B25" s="79"/>
      <c r="C25" s="77"/>
      <c r="D25" s="79"/>
      <c r="E25" s="73"/>
      <c r="F25" s="79"/>
      <c r="G25" s="77"/>
      <c r="H25" s="79"/>
      <c r="I25" s="77"/>
      <c r="J25" s="130"/>
      <c r="K25" s="77"/>
      <c r="L25" s="79"/>
      <c r="M25" s="73"/>
      <c r="O25" s="115"/>
      <c r="P25" s="111"/>
      <c r="Q25" s="108"/>
      <c r="R25" s="108"/>
      <c r="S25" s="108"/>
      <c r="T25" s="108"/>
    </row>
    <row r="26" spans="2:20" s="3" customFormat="1" ht="18" customHeight="1">
      <c r="B26" s="79"/>
      <c r="C26" s="77"/>
      <c r="D26" s="79"/>
      <c r="E26" s="77"/>
      <c r="F26" s="79"/>
      <c r="G26" s="77"/>
      <c r="H26" s="79"/>
      <c r="I26" s="77"/>
      <c r="J26" s="130"/>
      <c r="K26" s="77"/>
      <c r="L26" s="79"/>
      <c r="M26" s="73"/>
      <c r="O26" s="115"/>
      <c r="P26" s="111"/>
      <c r="Q26" s="108"/>
      <c r="R26" s="108"/>
      <c r="S26" s="108"/>
      <c r="T26" s="108"/>
    </row>
    <row r="27" spans="2:20" s="3" customFormat="1" ht="18" customHeight="1">
      <c r="B27" s="79"/>
      <c r="C27" s="77"/>
      <c r="D27" s="79"/>
      <c r="E27" s="77"/>
      <c r="F27" s="79"/>
      <c r="G27" s="77"/>
      <c r="H27" s="79"/>
      <c r="I27" s="77"/>
      <c r="J27" s="131"/>
      <c r="K27" s="77"/>
      <c r="L27" s="79"/>
      <c r="M27" s="73"/>
      <c r="O27" s="115"/>
      <c r="P27" s="111"/>
      <c r="Q27" s="108"/>
      <c r="R27" s="108"/>
      <c r="S27" s="108"/>
      <c r="T27" s="108"/>
    </row>
    <row r="28" spans="2:20" s="3" customFormat="1" ht="18" customHeight="1">
      <c r="B28" s="79"/>
      <c r="C28" s="77"/>
      <c r="D28" s="79"/>
      <c r="E28" s="77"/>
      <c r="F28" s="79"/>
      <c r="G28" s="77"/>
      <c r="H28" s="79"/>
      <c r="I28" s="77"/>
      <c r="J28" s="131"/>
      <c r="K28" s="77"/>
      <c r="L28" s="79"/>
      <c r="M28" s="77"/>
      <c r="O28" s="115"/>
      <c r="P28" s="111"/>
      <c r="Q28" s="108"/>
      <c r="R28" s="108"/>
      <c r="S28" s="108"/>
      <c r="T28" s="108"/>
    </row>
    <row r="29" spans="2:20" s="3" customFormat="1" ht="18" customHeight="1">
      <c r="B29" s="79"/>
      <c r="C29" s="77"/>
      <c r="D29" s="79"/>
      <c r="E29" s="77"/>
      <c r="F29" s="79"/>
      <c r="G29" s="77"/>
      <c r="H29" s="79"/>
      <c r="I29" s="77"/>
      <c r="J29" s="131"/>
      <c r="K29" s="77"/>
      <c r="L29" s="79"/>
      <c r="M29" s="77"/>
      <c r="O29" s="115"/>
      <c r="P29" s="111"/>
      <c r="Q29" s="108"/>
      <c r="R29" s="108"/>
      <c r="S29" s="108"/>
      <c r="T29" s="108"/>
    </row>
    <row r="30" spans="2:20" s="3" customFormat="1" ht="18" customHeight="1">
      <c r="B30" s="79"/>
      <c r="C30" s="77"/>
      <c r="D30" s="79"/>
      <c r="E30" s="77"/>
      <c r="F30" s="79"/>
      <c r="G30" s="77"/>
      <c r="H30" s="79"/>
      <c r="I30" s="77"/>
      <c r="J30" s="131"/>
      <c r="K30" s="77"/>
      <c r="L30" s="79"/>
      <c r="M30" s="77"/>
      <c r="O30" s="115"/>
      <c r="P30" s="111"/>
      <c r="Q30" s="108"/>
      <c r="R30" s="108"/>
      <c r="S30" s="108"/>
      <c r="T30" s="108"/>
    </row>
    <row r="31" spans="2:20" s="3" customFormat="1" ht="18" customHeight="1">
      <c r="B31" s="85"/>
      <c r="C31" s="86"/>
      <c r="D31" s="85"/>
      <c r="E31" s="86"/>
      <c r="F31" s="85"/>
      <c r="G31" s="86"/>
      <c r="H31" s="85"/>
      <c r="I31" s="86"/>
      <c r="J31" s="132"/>
      <c r="K31" s="86"/>
      <c r="L31" s="85"/>
      <c r="M31" s="86"/>
      <c r="O31" s="115"/>
      <c r="P31" s="115"/>
      <c r="Q31" s="108"/>
      <c r="R31" s="108"/>
      <c r="S31" s="108"/>
      <c r="T31" s="108"/>
    </row>
    <row r="32" spans="2:20" s="3" customFormat="1" ht="15.75">
      <c r="B32" s="88"/>
      <c r="C32" s="66"/>
      <c r="D32" s="66"/>
      <c r="E32" s="66"/>
      <c r="F32" s="66"/>
      <c r="G32" s="66"/>
      <c r="H32" s="66"/>
      <c r="I32" s="66"/>
      <c r="J32" s="66"/>
      <c r="K32" s="66"/>
      <c r="L32" s="66"/>
      <c r="M32" s="66"/>
      <c r="O32" s="111"/>
      <c r="P32" s="111"/>
      <c r="Q32" s="108"/>
      <c r="R32" s="108"/>
      <c r="S32" s="108"/>
      <c r="T32" s="108"/>
    </row>
    <row r="33" spans="2:20" s="3" customFormat="1" ht="18" customHeight="1">
      <c r="B33" s="89"/>
      <c r="C33" s="90"/>
      <c r="D33" s="66"/>
      <c r="E33" s="66"/>
      <c r="F33" s="66"/>
      <c r="G33" s="66"/>
      <c r="H33" s="66"/>
      <c r="I33" s="66"/>
      <c r="J33" s="66"/>
      <c r="K33" s="66"/>
      <c r="L33" s="564" t="s">
        <v>132</v>
      </c>
      <c r="M33" s="564"/>
      <c r="O33" s="111"/>
      <c r="P33" s="111"/>
      <c r="Q33" s="108"/>
      <c r="R33" s="108"/>
      <c r="S33" s="108"/>
      <c r="T33" s="108"/>
    </row>
    <row r="34" spans="2:20" s="3" customFormat="1" ht="15.75">
      <c r="B34" s="2"/>
      <c r="O34" s="111"/>
      <c r="P34" s="111"/>
      <c r="Q34" s="108"/>
      <c r="R34" s="108"/>
      <c r="S34" s="108"/>
      <c r="T34" s="108"/>
    </row>
  </sheetData>
  <sheetProtection algorithmName="SHA-512" hashValue="sa790OBMq8osUXriuqMfVDQIVhWolI3gTPAl0fQRrABR6akStw4y/CihybL/1Xe4qlylvbPPYuE+/mPzmo1qbA==" saltValue="iBmohKHNxVDrjguxKU+IRQ==" spinCount="100000" sheet="1" objects="1" scenarios="1"/>
  <mergeCells count="19">
    <mergeCell ref="H5:I5"/>
    <mergeCell ref="J5:K5"/>
    <mergeCell ref="L5:M5"/>
    <mergeCell ref="O1:S1"/>
    <mergeCell ref="O5:P5"/>
    <mergeCell ref="B1:L1"/>
    <mergeCell ref="B2:M2"/>
    <mergeCell ref="B3:K3"/>
    <mergeCell ref="L3:M3"/>
    <mergeCell ref="B5:C5"/>
    <mergeCell ref="D5:E5"/>
    <mergeCell ref="F5:G5"/>
    <mergeCell ref="L33:M33"/>
    <mergeCell ref="B20:C20"/>
    <mergeCell ref="D20:E20"/>
    <mergeCell ref="F20:G20"/>
    <mergeCell ref="H20:I20"/>
    <mergeCell ref="J20:K20"/>
    <mergeCell ref="L20:M20"/>
  </mergeCells>
  <phoneticPr fontId="3"/>
  <dataValidations disablePrompts="1" count="1">
    <dataValidation type="list" allowBlank="1" showInputMessage="1" showErrorMessage="1" sqref="C4 E4 G4 I4 K4 M4 C19 E19 G19 I19 K19 M19">
      <formula1>コース</formula1>
    </dataValidation>
  </dataValidations>
  <pageMargins left="0.31496062992125984" right="0.31496062992125984" top="0.74803149606299213" bottom="0.74803149606299213" header="0.31496062992125984" footer="0.31496062992125984"/>
  <pageSetup paperSize="9" scale="99" fitToHeight="0" orientation="portrait" horizontalDpi="4294967293"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66"/>
  <sheetViews>
    <sheetView zoomScaleNormal="100" workbookViewId="0">
      <selection activeCell="K13" sqref="K13"/>
    </sheetView>
  </sheetViews>
  <sheetFormatPr defaultRowHeight="14.25"/>
  <cols>
    <col min="1" max="1" width="2.75" customWidth="1"/>
    <col min="2" max="2" width="3.75" style="4" customWidth="1"/>
    <col min="3" max="3" width="6.125" style="4" customWidth="1"/>
    <col min="4" max="4" width="16.25" style="4" customWidth="1"/>
    <col min="5" max="6" width="7.375" style="4" bestFit="1" customWidth="1"/>
    <col min="7" max="7" width="6.75" style="4" bestFit="1" customWidth="1"/>
    <col min="8" max="8" width="7.5" style="7" customWidth="1"/>
    <col min="9" max="10" width="8.875" style="7" customWidth="1"/>
    <col min="11" max="11" width="5.375" customWidth="1"/>
    <col min="14" max="14" width="7.5" customWidth="1"/>
    <col min="15" max="15" width="3" customWidth="1"/>
    <col min="16" max="16" width="9" customWidth="1"/>
    <col min="17" max="17" width="3.125" customWidth="1"/>
    <col min="18" max="18" width="5.875" customWidth="1"/>
    <col min="19" max="19" width="3.25" customWidth="1"/>
    <col min="20" max="21" width="10.5" customWidth="1"/>
    <col min="22" max="22" width="3.125" customWidth="1"/>
    <col min="23" max="23" width="11.125" customWidth="1"/>
    <col min="24" max="24" width="3" customWidth="1"/>
    <col min="25" max="25" width="17.5" customWidth="1"/>
    <col min="26" max="26" width="2.5" customWidth="1"/>
    <col min="28" max="28" width="2.625" customWidth="1"/>
    <col min="29" max="29" width="6.875" customWidth="1"/>
    <col min="30" max="30" width="2.625" customWidth="1"/>
    <col min="32" max="32" width="2.875" customWidth="1"/>
    <col min="36" max="36" width="11.625" customWidth="1"/>
  </cols>
  <sheetData>
    <row r="1" spans="2:43" ht="18.75">
      <c r="B1" s="157" t="s">
        <v>314</v>
      </c>
      <c r="C1" s="157"/>
      <c r="D1" s="157"/>
      <c r="E1" s="157"/>
      <c r="F1" s="157"/>
      <c r="G1" s="157"/>
      <c r="H1" s="157"/>
      <c r="I1" s="157"/>
      <c r="J1" s="119" t="s">
        <v>373</v>
      </c>
      <c r="L1" s="33" t="s">
        <v>73</v>
      </c>
      <c r="M1" s="32"/>
      <c r="N1" s="32"/>
      <c r="O1" s="32"/>
      <c r="P1" s="34" t="s">
        <v>58</v>
      </c>
      <c r="Q1" s="34"/>
      <c r="R1" s="34" t="s">
        <v>60</v>
      </c>
      <c r="S1" s="34"/>
      <c r="T1" s="34" t="s">
        <v>83</v>
      </c>
      <c r="U1" s="34"/>
      <c r="V1" s="34"/>
      <c r="W1" s="34" t="s">
        <v>56</v>
      </c>
      <c r="X1" s="34"/>
      <c r="Y1" s="35" t="s">
        <v>63</v>
      </c>
      <c r="Z1" s="34"/>
      <c r="AA1" s="34" t="s">
        <v>57</v>
      </c>
      <c r="AB1" s="34"/>
      <c r="AC1" s="35" t="s">
        <v>65</v>
      </c>
      <c r="AD1" s="34"/>
      <c r="AE1" s="34" t="s">
        <v>72</v>
      </c>
      <c r="AG1" s="34" t="s">
        <v>77</v>
      </c>
    </row>
    <row r="2" spans="2:43" ht="15.75" thickBot="1">
      <c r="E2" s="6" t="s">
        <v>223</v>
      </c>
      <c r="F2" s="6" t="s">
        <v>224</v>
      </c>
      <c r="G2" s="6" t="s">
        <v>225</v>
      </c>
      <c r="H2" s="6" t="s">
        <v>223</v>
      </c>
      <c r="I2" s="6" t="s">
        <v>224</v>
      </c>
      <c r="J2" s="6" t="s">
        <v>225</v>
      </c>
      <c r="L2" t="s">
        <v>307</v>
      </c>
      <c r="P2" s="63"/>
      <c r="T2" s="57" t="s">
        <v>287</v>
      </c>
      <c r="U2" s="57"/>
      <c r="AI2" t="str">
        <f>T2</f>
        <v>2019年</v>
      </c>
    </row>
    <row r="3" spans="2:43" ht="15">
      <c r="B3" s="5"/>
      <c r="C3" s="5" t="s">
        <v>23</v>
      </c>
      <c r="D3" s="5" t="s">
        <v>221</v>
      </c>
      <c r="E3" s="5" t="s">
        <v>222</v>
      </c>
      <c r="F3" s="5" t="s">
        <v>222</v>
      </c>
      <c r="G3" s="5" t="s">
        <v>222</v>
      </c>
      <c r="H3" s="6" t="s">
        <v>237</v>
      </c>
      <c r="I3" s="6" t="s">
        <v>237</v>
      </c>
      <c r="J3" s="6" t="s">
        <v>237</v>
      </c>
      <c r="L3" s="8" t="s">
        <v>52</v>
      </c>
      <c r="M3" s="61" t="s">
        <v>84</v>
      </c>
      <c r="N3" s="55" t="s">
        <v>77</v>
      </c>
      <c r="O3" s="16"/>
      <c r="P3" s="31" t="s">
        <v>59</v>
      </c>
      <c r="Q3" s="16"/>
      <c r="R3" s="15" t="s">
        <v>53</v>
      </c>
      <c r="T3" s="15" t="s">
        <v>83</v>
      </c>
      <c r="U3" s="55" t="s">
        <v>77</v>
      </c>
      <c r="W3" s="24" t="s">
        <v>61</v>
      </c>
      <c r="Y3" s="15" t="s">
        <v>63</v>
      </c>
      <c r="AA3" s="11" t="s">
        <v>55</v>
      </c>
      <c r="AC3" s="15" t="s">
        <v>66</v>
      </c>
      <c r="AE3" s="36" t="s">
        <v>72</v>
      </c>
      <c r="AG3" s="40" t="s">
        <v>13</v>
      </c>
      <c r="AI3" s="95" t="s">
        <v>140</v>
      </c>
      <c r="AJ3" s="96" t="s">
        <v>141</v>
      </c>
      <c r="AK3" s="96" t="s">
        <v>87</v>
      </c>
      <c r="AL3" s="96" t="s">
        <v>133</v>
      </c>
      <c r="AM3" s="96" t="s">
        <v>134</v>
      </c>
      <c r="AN3" s="96" t="s">
        <v>142</v>
      </c>
      <c r="AO3" s="167" t="s">
        <v>143</v>
      </c>
      <c r="AP3" s="170" t="s">
        <v>264</v>
      </c>
      <c r="AQ3" s="170" t="s">
        <v>265</v>
      </c>
    </row>
    <row r="4" spans="2:43" ht="15.75" thickBot="1">
      <c r="B4" s="5">
        <v>1</v>
      </c>
      <c r="C4" s="120">
        <v>6793</v>
      </c>
      <c r="D4" s="133" t="s">
        <v>226</v>
      </c>
      <c r="E4" s="137">
        <v>10.61</v>
      </c>
      <c r="F4" s="138">
        <v>10.61</v>
      </c>
      <c r="G4" s="139">
        <v>10.26</v>
      </c>
      <c r="H4" s="140">
        <v>887.5</v>
      </c>
      <c r="I4" s="141">
        <v>549.1</v>
      </c>
      <c r="J4" s="142">
        <v>485.5</v>
      </c>
      <c r="L4" s="9" t="s">
        <v>48</v>
      </c>
      <c r="M4" s="39">
        <v>14.2</v>
      </c>
      <c r="N4" s="10" t="s">
        <v>78</v>
      </c>
      <c r="P4" s="60" t="s">
        <v>287</v>
      </c>
      <c r="R4" s="14" t="s">
        <v>172</v>
      </c>
      <c r="T4" s="58">
        <v>43485</v>
      </c>
      <c r="U4" s="10" t="s">
        <v>78</v>
      </c>
      <c r="W4" s="25" t="s">
        <v>288</v>
      </c>
      <c r="Y4" s="12" t="s">
        <v>64</v>
      </c>
      <c r="AA4" s="62" t="s">
        <v>86</v>
      </c>
      <c r="AC4" s="14" t="s">
        <v>67</v>
      </c>
      <c r="AE4" s="37">
        <v>0.33333333333333331</v>
      </c>
      <c r="AG4" s="38" t="s">
        <v>78</v>
      </c>
      <c r="AI4" s="97" t="str">
        <f>W4</f>
        <v>＃525</v>
      </c>
      <c r="AJ4" s="92">
        <f>T4</f>
        <v>43485</v>
      </c>
      <c r="AK4" s="39" t="s">
        <v>219</v>
      </c>
      <c r="AL4" s="125" t="s">
        <v>285</v>
      </c>
      <c r="AM4" s="125" t="s">
        <v>263</v>
      </c>
      <c r="AN4" s="165"/>
      <c r="AO4" s="168">
        <v>0.41666666666666669</v>
      </c>
      <c r="AP4" s="171">
        <v>0.52083333333333337</v>
      </c>
      <c r="AQ4" s="39" t="str">
        <f>U4</f>
        <v>MAX=20</v>
      </c>
    </row>
    <row r="5" spans="2:43" ht="15.75" thickBot="1">
      <c r="B5" s="5">
        <v>2</v>
      </c>
      <c r="C5" s="120">
        <v>3663</v>
      </c>
      <c r="D5" s="134" t="s">
        <v>227</v>
      </c>
      <c r="E5" s="143">
        <v>11.32</v>
      </c>
      <c r="F5" s="144">
        <v>10.41</v>
      </c>
      <c r="G5" s="145">
        <v>10</v>
      </c>
      <c r="H5" s="146">
        <v>868.2</v>
      </c>
      <c r="I5" s="147">
        <v>552.70000000000005</v>
      </c>
      <c r="J5" s="148">
        <v>490.6</v>
      </c>
      <c r="L5" s="9" t="s">
        <v>51</v>
      </c>
      <c r="M5" s="39">
        <v>21.5</v>
      </c>
      <c r="N5" s="10" t="s">
        <v>82</v>
      </c>
      <c r="R5" s="14" t="s">
        <v>190</v>
      </c>
      <c r="T5" s="58">
        <v>43513</v>
      </c>
      <c r="U5" s="10" t="s">
        <v>266</v>
      </c>
      <c r="W5" s="25" t="s">
        <v>246</v>
      </c>
      <c r="Y5" s="12" t="s">
        <v>302</v>
      </c>
      <c r="AA5" s="13"/>
      <c r="AC5" s="14" t="s">
        <v>68</v>
      </c>
      <c r="AE5" s="37">
        <v>0.35416666666666669</v>
      </c>
      <c r="AG5" s="38" t="s">
        <v>79</v>
      </c>
      <c r="AI5" s="97" t="str">
        <f t="shared" ref="AI5:AI16" si="0">W5</f>
        <v>＃526</v>
      </c>
      <c r="AJ5" s="92">
        <f t="shared" ref="AJ5:AJ16" si="1">T5</f>
        <v>43513</v>
      </c>
      <c r="AK5" t="s">
        <v>257</v>
      </c>
      <c r="AL5" s="125" t="s">
        <v>341</v>
      </c>
      <c r="AM5" s="126"/>
      <c r="AN5" s="165"/>
      <c r="AO5" s="168">
        <v>0.4375</v>
      </c>
      <c r="AP5" s="171">
        <v>0.625</v>
      </c>
      <c r="AQ5" s="39" t="str">
        <f t="shared" ref="AQ5:AQ16" si="2">U5</f>
        <v>MAX=20</v>
      </c>
    </row>
    <row r="6" spans="2:43" ht="15.75" thickBot="1">
      <c r="B6" s="5">
        <v>3</v>
      </c>
      <c r="C6" s="121">
        <v>4010</v>
      </c>
      <c r="D6" s="134" t="s">
        <v>149</v>
      </c>
      <c r="E6" s="143">
        <v>10.47</v>
      </c>
      <c r="F6" s="144">
        <v>10.24</v>
      </c>
      <c r="G6" s="145">
        <v>10.039999999999999</v>
      </c>
      <c r="H6" s="146">
        <v>891.5</v>
      </c>
      <c r="I6" s="147">
        <v>555.9</v>
      </c>
      <c r="J6" s="148">
        <v>489.8</v>
      </c>
      <c r="L6" s="9" t="s">
        <v>49</v>
      </c>
      <c r="M6" s="39">
        <v>11.3</v>
      </c>
      <c r="N6" s="10" t="s">
        <v>79</v>
      </c>
      <c r="R6" s="14" t="s">
        <v>191</v>
      </c>
      <c r="T6" s="58">
        <v>43541</v>
      </c>
      <c r="U6" s="10" t="s">
        <v>79</v>
      </c>
      <c r="W6" s="25" t="s">
        <v>247</v>
      </c>
      <c r="Y6" s="13"/>
      <c r="AC6" s="14" t="s">
        <v>69</v>
      </c>
      <c r="AE6" s="37">
        <v>0.375</v>
      </c>
      <c r="AG6" s="38" t="s">
        <v>81</v>
      </c>
      <c r="AI6" s="97" t="str">
        <f t="shared" si="0"/>
        <v>＃527</v>
      </c>
      <c r="AJ6" s="92">
        <f t="shared" si="1"/>
        <v>43541</v>
      </c>
      <c r="AK6" s="39" t="s">
        <v>258</v>
      </c>
      <c r="AL6" s="39" t="s">
        <v>324</v>
      </c>
      <c r="AM6" s="126"/>
      <c r="AN6" s="165"/>
      <c r="AO6" s="168">
        <v>0.41666666666666669</v>
      </c>
      <c r="AP6" s="171">
        <v>0.66666666666666663</v>
      </c>
      <c r="AQ6" s="39" t="str">
        <f t="shared" si="2"/>
        <v>MAX=30</v>
      </c>
    </row>
    <row r="7" spans="2:43" ht="15.75" thickBot="1">
      <c r="B7" s="5">
        <v>4</v>
      </c>
      <c r="C7" s="122">
        <v>5752</v>
      </c>
      <c r="D7" s="135" t="s">
        <v>44</v>
      </c>
      <c r="E7" s="143">
        <v>10.43</v>
      </c>
      <c r="F7" s="144">
        <v>10.18</v>
      </c>
      <c r="G7" s="145">
        <v>9.92</v>
      </c>
      <c r="H7" s="146">
        <v>892.7</v>
      </c>
      <c r="I7" s="147">
        <v>557</v>
      </c>
      <c r="J7" s="148">
        <v>492.1</v>
      </c>
      <c r="L7" s="9" t="s">
        <v>50</v>
      </c>
      <c r="M7" s="39">
        <v>23.4</v>
      </c>
      <c r="N7" s="10" t="s">
        <v>79</v>
      </c>
      <c r="R7" s="14" t="s">
        <v>192</v>
      </c>
      <c r="T7" s="58">
        <v>43211</v>
      </c>
      <c r="U7" s="10" t="s">
        <v>78</v>
      </c>
      <c r="W7" s="25" t="s">
        <v>248</v>
      </c>
      <c r="AC7" s="26"/>
      <c r="AE7" s="37">
        <v>0.39583333333333331</v>
      </c>
      <c r="AG7" s="39"/>
      <c r="AI7" s="97" t="str">
        <f t="shared" si="0"/>
        <v>＃528</v>
      </c>
      <c r="AJ7" s="92">
        <f t="shared" si="1"/>
        <v>43211</v>
      </c>
      <c r="AK7" s="39" t="s">
        <v>303</v>
      </c>
      <c r="AL7" s="125" t="s">
        <v>325</v>
      </c>
      <c r="AM7" s="126"/>
      <c r="AN7" s="165"/>
      <c r="AO7" s="168"/>
      <c r="AP7" s="171"/>
      <c r="AQ7" s="39" t="str">
        <f t="shared" si="2"/>
        <v>MAX=20</v>
      </c>
    </row>
    <row r="8" spans="2:43" ht="15">
      <c r="B8" s="5">
        <v>5</v>
      </c>
      <c r="C8" s="120">
        <v>4600</v>
      </c>
      <c r="D8" s="135" t="s">
        <v>42</v>
      </c>
      <c r="E8" s="143">
        <v>9.86</v>
      </c>
      <c r="F8" s="144">
        <v>10.18</v>
      </c>
      <c r="G8" s="145">
        <v>10.57</v>
      </c>
      <c r="H8" s="146">
        <v>909.9</v>
      </c>
      <c r="I8" s="147">
        <v>557.1</v>
      </c>
      <c r="J8" s="148">
        <v>479.5</v>
      </c>
      <c r="L8" s="9" t="s">
        <v>244</v>
      </c>
      <c r="M8" s="164">
        <v>6</v>
      </c>
      <c r="N8" s="10" t="s">
        <v>78</v>
      </c>
      <c r="R8" s="14" t="s">
        <v>193</v>
      </c>
      <c r="T8" s="58">
        <v>43239</v>
      </c>
      <c r="U8" s="10" t="s">
        <v>80</v>
      </c>
      <c r="W8" s="25" t="s">
        <v>249</v>
      </c>
      <c r="AE8" s="37">
        <v>0.41666666666666669</v>
      </c>
      <c r="AI8" s="97" t="str">
        <f t="shared" si="0"/>
        <v>＃529</v>
      </c>
      <c r="AJ8" s="92">
        <f t="shared" si="1"/>
        <v>43239</v>
      </c>
      <c r="AK8" s="39" t="s">
        <v>259</v>
      </c>
      <c r="AL8" s="125" t="s">
        <v>326</v>
      </c>
      <c r="AM8" s="126"/>
      <c r="AN8" s="165"/>
      <c r="AO8" s="168">
        <v>0</v>
      </c>
      <c r="AP8" s="444">
        <v>0.625</v>
      </c>
      <c r="AQ8" s="39" t="str">
        <f t="shared" si="2"/>
        <v>MAX=40</v>
      </c>
    </row>
    <row r="9" spans="2:43" ht="15">
      <c r="B9" s="5">
        <v>6</v>
      </c>
      <c r="C9" s="449" t="s">
        <v>88</v>
      </c>
      <c r="D9" s="464" t="s">
        <v>228</v>
      </c>
      <c r="E9" s="465">
        <v>10.3</v>
      </c>
      <c r="F9" s="466">
        <v>10.11</v>
      </c>
      <c r="G9" s="467">
        <v>9.9</v>
      </c>
      <c r="H9" s="468">
        <v>896.5</v>
      </c>
      <c r="I9" s="469">
        <v>558.5</v>
      </c>
      <c r="J9" s="470">
        <v>492.6</v>
      </c>
      <c r="K9" s="458"/>
      <c r="L9" s="9" t="s">
        <v>241</v>
      </c>
      <c r="M9" s="39">
        <v>16.7</v>
      </c>
      <c r="N9" s="10" t="s">
        <v>79</v>
      </c>
      <c r="R9" s="14" t="s">
        <v>194</v>
      </c>
      <c r="T9" s="58">
        <v>43632</v>
      </c>
      <c r="U9" s="10" t="s">
        <v>78</v>
      </c>
      <c r="W9" s="25" t="s">
        <v>250</v>
      </c>
      <c r="AE9" s="37">
        <v>0.4375</v>
      </c>
      <c r="AI9" s="97" t="str">
        <f t="shared" si="0"/>
        <v>＃530</v>
      </c>
      <c r="AJ9" s="92">
        <f t="shared" si="1"/>
        <v>43632</v>
      </c>
      <c r="AK9" s="39" t="s">
        <v>202</v>
      </c>
      <c r="AL9" s="125" t="s">
        <v>327</v>
      </c>
      <c r="AM9" s="126"/>
      <c r="AN9" s="165"/>
      <c r="AO9" s="168">
        <v>0.4375</v>
      </c>
      <c r="AP9" s="171">
        <v>0.66666666666666663</v>
      </c>
      <c r="AQ9" s="39" t="str">
        <f t="shared" si="2"/>
        <v>MAX=20</v>
      </c>
    </row>
    <row r="10" spans="2:43" ht="15">
      <c r="B10" s="5">
        <v>7</v>
      </c>
      <c r="C10" s="120">
        <v>380</v>
      </c>
      <c r="D10" s="450" t="s">
        <v>150</v>
      </c>
      <c r="E10" s="451">
        <v>10.32</v>
      </c>
      <c r="F10" s="452">
        <v>9.86</v>
      </c>
      <c r="G10" s="453">
        <v>9.51</v>
      </c>
      <c r="H10" s="454">
        <v>896</v>
      </c>
      <c r="I10" s="455">
        <v>563.29999999999995</v>
      </c>
      <c r="J10" s="456">
        <v>500.8</v>
      </c>
      <c r="K10" s="458" t="s">
        <v>393</v>
      </c>
      <c r="L10" s="9" t="s">
        <v>242</v>
      </c>
      <c r="M10" s="39">
        <v>18.600000000000001</v>
      </c>
      <c r="N10" s="10" t="s">
        <v>78</v>
      </c>
      <c r="R10" s="14" t="s">
        <v>195</v>
      </c>
      <c r="T10" s="58">
        <v>43667</v>
      </c>
      <c r="U10" s="10" t="s">
        <v>79</v>
      </c>
      <c r="W10" s="25" t="s">
        <v>251</v>
      </c>
      <c r="AE10" s="37">
        <v>0.4513888888888889</v>
      </c>
      <c r="AI10" s="97" t="str">
        <f t="shared" si="0"/>
        <v>＃531</v>
      </c>
      <c r="AJ10" s="92">
        <f>T10</f>
        <v>43667</v>
      </c>
      <c r="AK10" s="39" t="s">
        <v>260</v>
      </c>
      <c r="AL10" s="125" t="s">
        <v>328</v>
      </c>
      <c r="AM10" s="125" t="s">
        <v>329</v>
      </c>
      <c r="AN10" s="125"/>
      <c r="AO10" s="168">
        <v>0.39583333333333331</v>
      </c>
      <c r="AP10" s="171">
        <v>0.66666666666666663</v>
      </c>
      <c r="AQ10" s="39" t="str">
        <f t="shared" si="2"/>
        <v>MAX=30</v>
      </c>
    </row>
    <row r="11" spans="2:43" ht="15">
      <c r="B11" s="5">
        <v>8</v>
      </c>
      <c r="C11" s="120">
        <v>1733</v>
      </c>
      <c r="D11" s="134" t="s">
        <v>144</v>
      </c>
      <c r="E11" s="143">
        <v>9.67</v>
      </c>
      <c r="F11" s="144">
        <v>9.57</v>
      </c>
      <c r="G11" s="145">
        <v>9.4</v>
      </c>
      <c r="H11" s="146">
        <v>915.7</v>
      </c>
      <c r="I11" s="147">
        <v>569.29999999999995</v>
      </c>
      <c r="J11" s="148">
        <v>503.2</v>
      </c>
      <c r="L11" s="19" t="s">
        <v>47</v>
      </c>
      <c r="M11" s="39">
        <v>47.4</v>
      </c>
      <c r="N11" s="10" t="s">
        <v>80</v>
      </c>
      <c r="R11" s="14" t="s">
        <v>196</v>
      </c>
      <c r="T11" s="58">
        <v>43695</v>
      </c>
      <c r="U11" s="10" t="s">
        <v>79</v>
      </c>
      <c r="W11" s="25" t="s">
        <v>252</v>
      </c>
      <c r="AE11" s="37">
        <v>0.47916666666666669</v>
      </c>
      <c r="AI11" s="97" t="str">
        <f t="shared" si="0"/>
        <v>＃532</v>
      </c>
      <c r="AJ11" s="92">
        <f t="shared" si="1"/>
        <v>43695</v>
      </c>
      <c r="AK11" s="39" t="s">
        <v>304</v>
      </c>
      <c r="AL11" s="125" t="s">
        <v>330</v>
      </c>
      <c r="AM11" s="126"/>
      <c r="AN11" s="165"/>
      <c r="AO11" s="168">
        <v>0.41666666666666669</v>
      </c>
      <c r="AP11" s="171">
        <v>0.66666666666666663</v>
      </c>
      <c r="AQ11" s="39" t="str">
        <f t="shared" si="2"/>
        <v>MAX=30</v>
      </c>
    </row>
    <row r="12" spans="2:43" ht="15">
      <c r="B12" s="5">
        <v>9</v>
      </c>
      <c r="C12" s="120">
        <v>321</v>
      </c>
      <c r="D12" s="134" t="s">
        <v>29</v>
      </c>
      <c r="E12" s="143">
        <v>10.15</v>
      </c>
      <c r="F12" s="144">
        <v>9.51</v>
      </c>
      <c r="G12" s="145">
        <v>9.44</v>
      </c>
      <c r="H12" s="146">
        <v>900.8</v>
      </c>
      <c r="I12" s="147">
        <v>570.5</v>
      </c>
      <c r="J12" s="148">
        <v>502.2</v>
      </c>
      <c r="L12" s="19" t="s">
        <v>62</v>
      </c>
      <c r="M12" s="39">
        <v>26.6</v>
      </c>
      <c r="N12" s="10"/>
      <c r="R12" s="14" t="s">
        <v>197</v>
      </c>
      <c r="T12" s="58">
        <v>43709</v>
      </c>
      <c r="U12" s="10"/>
      <c r="W12" s="25" t="s">
        <v>253</v>
      </c>
      <c r="AE12" s="37">
        <v>0</v>
      </c>
      <c r="AI12" s="97" t="str">
        <f t="shared" si="0"/>
        <v>＃533</v>
      </c>
      <c r="AJ12" s="92">
        <f t="shared" si="1"/>
        <v>43709</v>
      </c>
      <c r="AK12" s="39" t="s">
        <v>305</v>
      </c>
      <c r="AL12" s="125" t="s">
        <v>333</v>
      </c>
      <c r="AM12" s="126"/>
      <c r="AN12" s="165"/>
      <c r="AO12" s="168"/>
      <c r="AP12" s="39"/>
      <c r="AQ12" s="39">
        <f t="shared" si="2"/>
        <v>0</v>
      </c>
    </row>
    <row r="13" spans="2:43" ht="15">
      <c r="B13" s="5">
        <v>10</v>
      </c>
      <c r="C13" s="120">
        <v>2221</v>
      </c>
      <c r="D13" s="134" t="s">
        <v>36</v>
      </c>
      <c r="E13" s="143">
        <v>9.75</v>
      </c>
      <c r="F13" s="144">
        <v>9.17</v>
      </c>
      <c r="G13" s="145">
        <v>8.93</v>
      </c>
      <c r="H13" s="146">
        <v>913.4</v>
      </c>
      <c r="I13" s="147">
        <v>577.70000000000005</v>
      </c>
      <c r="J13" s="148">
        <v>514</v>
      </c>
      <c r="L13" s="9" t="s">
        <v>85</v>
      </c>
      <c r="M13" s="39">
        <v>11.3</v>
      </c>
      <c r="N13" s="10" t="s">
        <v>79</v>
      </c>
      <c r="R13" s="14" t="s">
        <v>197</v>
      </c>
      <c r="T13" s="58">
        <v>43723</v>
      </c>
      <c r="U13" s="10" t="s">
        <v>79</v>
      </c>
      <c r="W13" s="25" t="s">
        <v>254</v>
      </c>
      <c r="AE13" s="37">
        <v>0.38194444444444442</v>
      </c>
      <c r="AI13" s="97" t="str">
        <f t="shared" si="0"/>
        <v>＃534</v>
      </c>
      <c r="AJ13" s="92">
        <f t="shared" si="1"/>
        <v>43723</v>
      </c>
      <c r="AK13" s="39" t="s">
        <v>306</v>
      </c>
      <c r="AL13" s="125" t="s">
        <v>331</v>
      </c>
      <c r="AM13" s="126"/>
      <c r="AN13" s="165"/>
      <c r="AO13" s="168">
        <v>0.39583333333333331</v>
      </c>
      <c r="AP13" s="171">
        <v>0.66666666666666663</v>
      </c>
      <c r="AQ13" s="39" t="str">
        <f t="shared" si="2"/>
        <v>MAX=30</v>
      </c>
    </row>
    <row r="14" spans="2:43" ht="15">
      <c r="B14" s="5">
        <v>11</v>
      </c>
      <c r="C14" s="120">
        <v>199</v>
      </c>
      <c r="D14" s="134" t="s">
        <v>27</v>
      </c>
      <c r="E14" s="143">
        <v>8.99</v>
      </c>
      <c r="F14" s="144">
        <v>9.15</v>
      </c>
      <c r="G14" s="145">
        <v>9.1</v>
      </c>
      <c r="H14" s="146">
        <v>939</v>
      </c>
      <c r="I14" s="147">
        <v>578.20000000000005</v>
      </c>
      <c r="J14" s="148">
        <v>509.9</v>
      </c>
      <c r="L14" s="9" t="s">
        <v>309</v>
      </c>
      <c r="M14" s="39">
        <v>10</v>
      </c>
      <c r="N14" s="10" t="s">
        <v>78</v>
      </c>
      <c r="R14" s="14" t="s">
        <v>198</v>
      </c>
      <c r="T14" s="58">
        <v>43758</v>
      </c>
      <c r="U14" s="10" t="s">
        <v>78</v>
      </c>
      <c r="W14" s="25" t="s">
        <v>255</v>
      </c>
      <c r="AI14" s="97" t="str">
        <f t="shared" si="0"/>
        <v>＃535</v>
      </c>
      <c r="AJ14" s="92">
        <f t="shared" si="1"/>
        <v>43758</v>
      </c>
      <c r="AK14" s="39" t="s">
        <v>261</v>
      </c>
      <c r="AL14" s="125" t="s">
        <v>331</v>
      </c>
      <c r="AM14" s="126"/>
      <c r="AN14" s="165"/>
      <c r="AO14" s="168">
        <v>0.4375</v>
      </c>
      <c r="AP14" s="171">
        <v>0.66666666666666663</v>
      </c>
      <c r="AQ14" s="39" t="str">
        <f t="shared" si="2"/>
        <v>MAX=20</v>
      </c>
    </row>
    <row r="15" spans="2:43" ht="15">
      <c r="B15" s="5">
        <v>12</v>
      </c>
      <c r="C15" s="120">
        <v>6732</v>
      </c>
      <c r="D15" s="135" t="s">
        <v>40</v>
      </c>
      <c r="E15" s="143">
        <v>9.59</v>
      </c>
      <c r="F15" s="144">
        <v>9.1300000000000008</v>
      </c>
      <c r="G15" s="145">
        <v>8.76</v>
      </c>
      <c r="H15" s="146">
        <v>918.4</v>
      </c>
      <c r="I15" s="147">
        <v>578.79999999999995</v>
      </c>
      <c r="J15" s="148">
        <v>518</v>
      </c>
      <c r="L15" s="9" t="s">
        <v>209</v>
      </c>
      <c r="M15" s="39">
        <v>3</v>
      </c>
      <c r="N15" s="10" t="s">
        <v>79</v>
      </c>
      <c r="R15" s="14" t="s">
        <v>199</v>
      </c>
      <c r="T15" s="58">
        <v>43786</v>
      </c>
      <c r="U15" s="10" t="s">
        <v>79</v>
      </c>
      <c r="W15" s="25" t="s">
        <v>256</v>
      </c>
      <c r="AI15" s="97" t="str">
        <f t="shared" si="0"/>
        <v>＃536</v>
      </c>
      <c r="AJ15" s="92">
        <f t="shared" si="1"/>
        <v>43786</v>
      </c>
      <c r="AK15" s="39" t="s">
        <v>262</v>
      </c>
      <c r="AL15" s="125" t="s">
        <v>332</v>
      </c>
      <c r="AM15" s="126"/>
      <c r="AN15" s="165"/>
      <c r="AO15" s="168">
        <v>0.41666666666666669</v>
      </c>
      <c r="AP15" s="171">
        <v>0.625</v>
      </c>
      <c r="AQ15" s="39" t="str">
        <f t="shared" si="2"/>
        <v>MAX=30</v>
      </c>
    </row>
    <row r="16" spans="2:43" ht="15.75" thickBot="1">
      <c r="B16" s="5">
        <v>13</v>
      </c>
      <c r="C16" s="120">
        <v>2212</v>
      </c>
      <c r="D16" s="134" t="s">
        <v>35</v>
      </c>
      <c r="E16" s="143">
        <v>8.8000000000000007</v>
      </c>
      <c r="F16" s="144">
        <v>9.0399999999999991</v>
      </c>
      <c r="G16" s="145">
        <v>9.0399999999999991</v>
      </c>
      <c r="H16" s="146">
        <v>945.7</v>
      </c>
      <c r="I16" s="147">
        <v>580.79999999999995</v>
      </c>
      <c r="J16" s="148">
        <v>511.4</v>
      </c>
      <c r="L16" s="18" t="s">
        <v>220</v>
      </c>
      <c r="M16" s="56"/>
      <c r="N16" s="17"/>
      <c r="R16" s="14" t="s">
        <v>200</v>
      </c>
      <c r="T16" s="58">
        <v>43814</v>
      </c>
      <c r="U16" s="10" t="s">
        <v>78</v>
      </c>
      <c r="W16" s="25" t="s">
        <v>289</v>
      </c>
      <c r="AI16" s="98" t="str">
        <f t="shared" si="0"/>
        <v>＃537</v>
      </c>
      <c r="AJ16" s="99">
        <f t="shared" si="1"/>
        <v>43814</v>
      </c>
      <c r="AK16" s="56" t="s">
        <v>202</v>
      </c>
      <c r="AL16" s="127" t="s">
        <v>340</v>
      </c>
      <c r="AM16" s="128"/>
      <c r="AN16" s="166"/>
      <c r="AO16" s="169">
        <v>0.4375</v>
      </c>
      <c r="AP16" s="171">
        <v>0.625</v>
      </c>
      <c r="AQ16" s="39" t="str">
        <f t="shared" si="2"/>
        <v>MAX=20</v>
      </c>
    </row>
    <row r="17" spans="2:41" ht="15.75" thickBot="1">
      <c r="B17" s="5">
        <v>14</v>
      </c>
      <c r="C17" s="120">
        <v>6714</v>
      </c>
      <c r="D17" s="135" t="s">
        <v>151</v>
      </c>
      <c r="E17" s="143">
        <v>8.9600000000000009</v>
      </c>
      <c r="F17" s="144">
        <v>8.94</v>
      </c>
      <c r="G17" s="145">
        <v>8.64</v>
      </c>
      <c r="H17" s="146">
        <v>939.9</v>
      </c>
      <c r="I17" s="147">
        <v>583</v>
      </c>
      <c r="J17" s="148">
        <v>520.9</v>
      </c>
      <c r="R17" s="26"/>
      <c r="T17" s="58"/>
      <c r="U17" s="129"/>
      <c r="W17" s="25" t="s">
        <v>290</v>
      </c>
      <c r="AI17" s="91"/>
      <c r="AJ17" s="91"/>
      <c r="AK17" s="91"/>
      <c r="AL17" s="91"/>
      <c r="AM17" s="91"/>
      <c r="AN17" s="91"/>
      <c r="AO17" s="91"/>
    </row>
    <row r="18" spans="2:41" ht="15.75" thickBot="1">
      <c r="B18" s="5">
        <v>15</v>
      </c>
      <c r="C18" s="120">
        <v>120</v>
      </c>
      <c r="D18" s="134" t="s">
        <v>229</v>
      </c>
      <c r="E18" s="143">
        <v>10.73</v>
      </c>
      <c r="F18" s="144">
        <v>8.9</v>
      </c>
      <c r="G18" s="145">
        <v>8.64</v>
      </c>
      <c r="H18" s="146">
        <v>884.1</v>
      </c>
      <c r="I18" s="147">
        <v>583.79999999999995</v>
      </c>
      <c r="J18" s="148">
        <v>520.9</v>
      </c>
      <c r="T18" s="59"/>
      <c r="U18" s="129"/>
      <c r="W18" s="25" t="s">
        <v>291</v>
      </c>
      <c r="AI18" s="91"/>
      <c r="AJ18" s="93" t="s">
        <v>145</v>
      </c>
      <c r="AK18" s="91" t="s">
        <v>146</v>
      </c>
      <c r="AL18" s="91"/>
      <c r="AM18" s="91"/>
      <c r="AN18" s="91"/>
      <c r="AO18" s="91"/>
    </row>
    <row r="19" spans="2:41" ht="15">
      <c r="B19" s="5">
        <v>16</v>
      </c>
      <c r="C19" s="120">
        <v>1403</v>
      </c>
      <c r="D19" s="135" t="s">
        <v>152</v>
      </c>
      <c r="E19" s="143">
        <v>8.68</v>
      </c>
      <c r="F19" s="144">
        <v>8.8699999999999992</v>
      </c>
      <c r="G19" s="145">
        <v>8.44</v>
      </c>
      <c r="H19" s="146">
        <v>950.3</v>
      </c>
      <c r="I19" s="147">
        <v>584.70000000000005</v>
      </c>
      <c r="J19" s="148">
        <v>526</v>
      </c>
      <c r="W19" s="25" t="s">
        <v>292</v>
      </c>
    </row>
    <row r="20" spans="2:41" ht="15">
      <c r="B20" s="5">
        <v>17</v>
      </c>
      <c r="C20" s="122">
        <v>5496</v>
      </c>
      <c r="D20" s="134" t="s">
        <v>212</v>
      </c>
      <c r="E20" s="143">
        <v>9.09</v>
      </c>
      <c r="F20" s="144">
        <v>8.7799999999999994</v>
      </c>
      <c r="G20" s="145">
        <v>8.74</v>
      </c>
      <c r="H20" s="146">
        <v>935.4</v>
      </c>
      <c r="I20" s="147">
        <v>586.6</v>
      </c>
      <c r="J20" s="148">
        <v>518.5</v>
      </c>
      <c r="W20" s="25" t="s">
        <v>293</v>
      </c>
    </row>
    <row r="21" spans="2:41" ht="15">
      <c r="B21" s="5">
        <v>18</v>
      </c>
      <c r="C21" s="122">
        <v>6735</v>
      </c>
      <c r="D21" s="134" t="s">
        <v>267</v>
      </c>
      <c r="E21" s="143">
        <v>9.77</v>
      </c>
      <c r="F21" s="144">
        <v>8.77</v>
      </c>
      <c r="G21" s="145">
        <v>8.43</v>
      </c>
      <c r="H21" s="146">
        <v>912.7</v>
      </c>
      <c r="I21" s="147">
        <v>587</v>
      </c>
      <c r="J21" s="148">
        <v>526.1</v>
      </c>
      <c r="W21" s="25" t="s">
        <v>294</v>
      </c>
    </row>
    <row r="22" spans="2:41" ht="15">
      <c r="B22" s="5">
        <v>19</v>
      </c>
      <c r="C22" s="120">
        <v>150</v>
      </c>
      <c r="D22" s="134" t="s">
        <v>211</v>
      </c>
      <c r="E22" s="143">
        <v>9.06</v>
      </c>
      <c r="F22" s="144">
        <v>8.68</v>
      </c>
      <c r="G22" s="145">
        <v>8.5</v>
      </c>
      <c r="H22" s="146">
        <v>936.4</v>
      </c>
      <c r="I22" s="147">
        <v>588.9</v>
      </c>
      <c r="J22" s="148">
        <v>524.4</v>
      </c>
      <c r="W22" s="25" t="s">
        <v>295</v>
      </c>
    </row>
    <row r="23" spans="2:41" ht="15">
      <c r="B23" s="5">
        <v>20</v>
      </c>
      <c r="C23" s="120">
        <v>346</v>
      </c>
      <c r="D23" s="134" t="s">
        <v>30</v>
      </c>
      <c r="E23" s="143">
        <v>8.4</v>
      </c>
      <c r="F23" s="144">
        <v>8.58</v>
      </c>
      <c r="G23" s="145">
        <v>8.68</v>
      </c>
      <c r="H23" s="146">
        <v>960.8</v>
      </c>
      <c r="I23" s="147">
        <v>591.5</v>
      </c>
      <c r="J23" s="148">
        <v>519.79999999999995</v>
      </c>
      <c r="W23" s="25" t="s">
        <v>296</v>
      </c>
    </row>
    <row r="24" spans="2:41" ht="15">
      <c r="B24" s="5">
        <v>21</v>
      </c>
      <c r="C24" s="120">
        <v>6766</v>
      </c>
      <c r="D24" s="134" t="s">
        <v>37</v>
      </c>
      <c r="E24" s="143">
        <v>9.0500000000000007</v>
      </c>
      <c r="F24" s="144">
        <v>8.57</v>
      </c>
      <c r="G24" s="145">
        <v>8.58</v>
      </c>
      <c r="H24" s="146">
        <v>936.7</v>
      </c>
      <c r="I24" s="147">
        <v>591.79999999999995</v>
      </c>
      <c r="J24" s="148">
        <v>522.5</v>
      </c>
      <c r="W24" s="25" t="s">
        <v>297</v>
      </c>
    </row>
    <row r="25" spans="2:41" ht="15">
      <c r="B25" s="5">
        <v>22</v>
      </c>
      <c r="C25" s="120">
        <v>667</v>
      </c>
      <c r="D25" s="134" t="s">
        <v>32</v>
      </c>
      <c r="E25" s="143">
        <v>8.39</v>
      </c>
      <c r="F25" s="144">
        <v>8.56</v>
      </c>
      <c r="G25" s="145">
        <v>7.99</v>
      </c>
      <c r="H25" s="146">
        <v>961.3</v>
      </c>
      <c r="I25" s="147">
        <v>592</v>
      </c>
      <c r="J25" s="148">
        <v>537.70000000000005</v>
      </c>
      <c r="W25" s="25" t="s">
        <v>298</v>
      </c>
    </row>
    <row r="26" spans="2:41" ht="15">
      <c r="B26" s="5">
        <v>23</v>
      </c>
      <c r="C26" s="120">
        <v>3387</v>
      </c>
      <c r="D26" s="134" t="s">
        <v>153</v>
      </c>
      <c r="E26" s="143">
        <v>9.0299999999999994</v>
      </c>
      <c r="F26" s="144">
        <v>8.51</v>
      </c>
      <c r="G26" s="145">
        <v>8.2899999999999991</v>
      </c>
      <c r="H26" s="146">
        <v>937.5</v>
      </c>
      <c r="I26" s="147">
        <v>593.29999999999995</v>
      </c>
      <c r="J26" s="148">
        <v>529.79999999999995</v>
      </c>
      <c r="W26" s="25" t="s">
        <v>299</v>
      </c>
    </row>
    <row r="27" spans="2:41" ht="15">
      <c r="B27" s="5">
        <v>24</v>
      </c>
      <c r="C27" s="120">
        <v>5854</v>
      </c>
      <c r="D27" s="134" t="s">
        <v>210</v>
      </c>
      <c r="E27" s="143">
        <v>9.02</v>
      </c>
      <c r="F27" s="144">
        <v>8.5</v>
      </c>
      <c r="G27" s="145">
        <v>8.2899999999999991</v>
      </c>
      <c r="H27" s="146">
        <v>937.7</v>
      </c>
      <c r="I27" s="147">
        <v>593.4</v>
      </c>
      <c r="J27" s="148">
        <v>529.79999999999995</v>
      </c>
      <c r="W27" s="25" t="s">
        <v>300</v>
      </c>
    </row>
    <row r="28" spans="2:41" ht="15">
      <c r="B28" s="5">
        <v>25</v>
      </c>
      <c r="C28" s="120">
        <v>1545</v>
      </c>
      <c r="D28" s="134" t="s">
        <v>230</v>
      </c>
      <c r="E28" s="143">
        <v>8.9700000000000006</v>
      </c>
      <c r="F28" s="144">
        <v>8.4600000000000009</v>
      </c>
      <c r="G28" s="145">
        <v>8.1999999999999993</v>
      </c>
      <c r="H28" s="146">
        <v>939.7</v>
      </c>
      <c r="I28" s="147">
        <v>594.29999999999995</v>
      </c>
      <c r="J28" s="148">
        <v>532.1</v>
      </c>
      <c r="W28" s="25" t="s">
        <v>301</v>
      </c>
    </row>
    <row r="29" spans="2:41" ht="15">
      <c r="B29" s="5">
        <v>26</v>
      </c>
      <c r="C29" s="120">
        <v>131</v>
      </c>
      <c r="D29" s="134" t="s">
        <v>24</v>
      </c>
      <c r="E29" s="143">
        <v>8.2899999999999991</v>
      </c>
      <c r="F29" s="144">
        <v>8.31</v>
      </c>
      <c r="G29" s="145">
        <v>8.0500000000000007</v>
      </c>
      <c r="H29" s="146">
        <v>965.1</v>
      </c>
      <c r="I29" s="147">
        <v>598.20000000000005</v>
      </c>
      <c r="J29" s="148">
        <v>536.29999999999995</v>
      </c>
    </row>
    <row r="30" spans="2:41" ht="15">
      <c r="B30" s="5">
        <v>27</v>
      </c>
      <c r="C30" s="120">
        <v>5755</v>
      </c>
      <c r="D30" s="134" t="s">
        <v>213</v>
      </c>
      <c r="E30" s="143">
        <v>8.25</v>
      </c>
      <c r="F30" s="144">
        <v>8.2100000000000009</v>
      </c>
      <c r="G30" s="145">
        <v>8.1300000000000008</v>
      </c>
      <c r="H30" s="146">
        <v>966.8</v>
      </c>
      <c r="I30" s="147">
        <v>600.5</v>
      </c>
      <c r="J30" s="148">
        <v>534.1</v>
      </c>
    </row>
    <row r="31" spans="2:41" ht="15">
      <c r="B31" s="5">
        <v>28</v>
      </c>
      <c r="C31" s="120">
        <v>1611</v>
      </c>
      <c r="D31" s="134" t="s">
        <v>268</v>
      </c>
      <c r="E31" s="143">
        <v>8.0299999999999994</v>
      </c>
      <c r="F31" s="144">
        <v>8.15</v>
      </c>
      <c r="G31" s="145">
        <v>7.98</v>
      </c>
      <c r="H31" s="146">
        <v>975.7</v>
      </c>
      <c r="I31" s="147">
        <v>602.20000000000005</v>
      </c>
      <c r="J31" s="148">
        <v>538.1</v>
      </c>
    </row>
    <row r="32" spans="2:41" ht="15">
      <c r="B32" s="5">
        <v>29</v>
      </c>
      <c r="C32" s="120">
        <v>157</v>
      </c>
      <c r="D32" s="134" t="s">
        <v>231</v>
      </c>
      <c r="E32" s="143">
        <v>8.4600000000000009</v>
      </c>
      <c r="F32" s="144">
        <v>8.1199999999999992</v>
      </c>
      <c r="G32" s="145">
        <v>7.9</v>
      </c>
      <c r="H32" s="146">
        <v>958.4</v>
      </c>
      <c r="I32" s="147">
        <v>602.9</v>
      </c>
      <c r="J32" s="148">
        <v>540.29999999999995</v>
      </c>
    </row>
    <row r="33" spans="2:16" ht="15">
      <c r="B33" s="5">
        <v>30</v>
      </c>
      <c r="C33" s="120">
        <v>1555</v>
      </c>
      <c r="D33" s="134" t="s">
        <v>33</v>
      </c>
      <c r="E33" s="143">
        <v>8.0500000000000007</v>
      </c>
      <c r="F33" s="144">
        <v>8.09</v>
      </c>
      <c r="G33" s="145">
        <v>7.92</v>
      </c>
      <c r="H33" s="146">
        <v>974.6</v>
      </c>
      <c r="I33" s="147">
        <v>603.6</v>
      </c>
      <c r="J33" s="148">
        <v>539.79999999999995</v>
      </c>
    </row>
    <row r="34" spans="2:16" ht="15">
      <c r="B34" s="5">
        <v>31</v>
      </c>
      <c r="C34" s="124">
        <v>312</v>
      </c>
      <c r="D34" s="134" t="s">
        <v>28</v>
      </c>
      <c r="E34" s="143">
        <v>8.11</v>
      </c>
      <c r="F34" s="144">
        <v>8.09</v>
      </c>
      <c r="G34" s="145">
        <v>8.07</v>
      </c>
      <c r="H34" s="146">
        <v>972.4</v>
      </c>
      <c r="I34" s="147">
        <v>603.70000000000005</v>
      </c>
      <c r="J34" s="148">
        <v>535.70000000000005</v>
      </c>
    </row>
    <row r="35" spans="2:16" ht="15">
      <c r="B35" s="5">
        <v>32</v>
      </c>
      <c r="C35" s="123">
        <v>164</v>
      </c>
      <c r="D35" s="136" t="s">
        <v>25</v>
      </c>
      <c r="E35" s="149">
        <v>7.97</v>
      </c>
      <c r="F35" s="150">
        <v>8.07</v>
      </c>
      <c r="G35" s="151">
        <v>7.84</v>
      </c>
      <c r="H35" s="152">
        <v>978</v>
      </c>
      <c r="I35" s="153">
        <v>604.4</v>
      </c>
      <c r="J35" s="154">
        <v>542.20000000000005</v>
      </c>
    </row>
    <row r="36" spans="2:16" ht="15">
      <c r="B36" s="5">
        <v>33</v>
      </c>
      <c r="C36" s="120">
        <v>381</v>
      </c>
      <c r="D36" s="135" t="s">
        <v>31</v>
      </c>
      <c r="E36" s="155">
        <v>8.09</v>
      </c>
      <c r="F36" s="156">
        <v>8.0299999999999994</v>
      </c>
      <c r="G36" s="145">
        <v>8.26</v>
      </c>
      <c r="H36" s="146">
        <v>973</v>
      </c>
      <c r="I36" s="147">
        <v>605.20000000000005</v>
      </c>
      <c r="J36" s="148">
        <v>530.70000000000005</v>
      </c>
    </row>
    <row r="37" spans="2:16" ht="15">
      <c r="B37" s="5">
        <v>34</v>
      </c>
      <c r="C37" s="120">
        <v>4832</v>
      </c>
      <c r="D37" s="133" t="s">
        <v>155</v>
      </c>
      <c r="E37" s="137">
        <v>8.44</v>
      </c>
      <c r="F37" s="138">
        <v>8.02</v>
      </c>
      <c r="G37" s="139">
        <v>7.91</v>
      </c>
      <c r="H37" s="140">
        <v>959.1</v>
      </c>
      <c r="I37" s="141">
        <v>605.6</v>
      </c>
      <c r="J37" s="142">
        <v>540</v>
      </c>
    </row>
    <row r="38" spans="2:16" ht="15">
      <c r="B38" s="5">
        <v>35</v>
      </c>
      <c r="C38" s="120">
        <v>360</v>
      </c>
      <c r="D38" s="134" t="s">
        <v>154</v>
      </c>
      <c r="E38" s="143">
        <v>7.93</v>
      </c>
      <c r="F38" s="144">
        <v>8</v>
      </c>
      <c r="G38" s="145">
        <v>7.95</v>
      </c>
      <c r="H38" s="146">
        <v>979.7</v>
      </c>
      <c r="I38" s="147">
        <v>606.20000000000005</v>
      </c>
      <c r="J38" s="148">
        <v>538.79999999999995</v>
      </c>
    </row>
    <row r="39" spans="2:16" ht="15">
      <c r="B39" s="5">
        <v>36</v>
      </c>
      <c r="C39" s="449">
        <v>6858</v>
      </c>
      <c r="D39" s="450" t="s">
        <v>343</v>
      </c>
      <c r="E39" s="451">
        <v>9.41</v>
      </c>
      <c r="F39" s="452">
        <v>7.99</v>
      </c>
      <c r="G39" s="453">
        <v>8.3800000000000008</v>
      </c>
      <c r="H39" s="454">
        <v>924.6</v>
      </c>
      <c r="I39" s="455">
        <v>606.4</v>
      </c>
      <c r="J39" s="456">
        <v>527.4</v>
      </c>
    </row>
    <row r="40" spans="2:16" ht="15">
      <c r="B40" s="5">
        <v>37</v>
      </c>
      <c r="C40" s="120" t="s">
        <v>88</v>
      </c>
      <c r="D40" s="134" t="s">
        <v>156</v>
      </c>
      <c r="E40" s="143">
        <v>8.33</v>
      </c>
      <c r="F40" s="144">
        <v>7.89</v>
      </c>
      <c r="G40" s="145">
        <v>7.92</v>
      </c>
      <c r="H40" s="146">
        <v>963.7</v>
      </c>
      <c r="I40" s="147">
        <v>609</v>
      </c>
      <c r="J40" s="148">
        <v>539.9</v>
      </c>
    </row>
    <row r="41" spans="2:16" ht="15">
      <c r="B41" s="5">
        <v>38</v>
      </c>
      <c r="C41" s="122">
        <v>6696</v>
      </c>
      <c r="D41" s="134" t="s">
        <v>157</v>
      </c>
      <c r="E41" s="143">
        <v>7.81</v>
      </c>
      <c r="F41" s="144">
        <v>7.65</v>
      </c>
      <c r="G41" s="145">
        <v>7.75</v>
      </c>
      <c r="H41" s="146">
        <v>985.1</v>
      </c>
      <c r="I41" s="147">
        <v>615.79999999999995</v>
      </c>
      <c r="J41" s="148">
        <v>544.79999999999995</v>
      </c>
    </row>
    <row r="42" spans="2:16" ht="15">
      <c r="B42" s="5">
        <v>39</v>
      </c>
      <c r="C42" s="120">
        <v>1911</v>
      </c>
      <c r="D42" s="134" t="s">
        <v>158</v>
      </c>
      <c r="E42" s="143">
        <v>7.78</v>
      </c>
      <c r="F42" s="144">
        <v>7.62</v>
      </c>
      <c r="G42" s="145">
        <v>7.66</v>
      </c>
      <c r="H42" s="146">
        <v>986.3</v>
      </c>
      <c r="I42" s="147">
        <v>616.4</v>
      </c>
      <c r="J42" s="148">
        <v>547.20000000000005</v>
      </c>
    </row>
    <row r="43" spans="2:16" ht="15">
      <c r="B43" s="5">
        <v>40</v>
      </c>
      <c r="C43" s="120" t="s">
        <v>88</v>
      </c>
      <c r="D43" s="134" t="s">
        <v>159</v>
      </c>
      <c r="E43" s="143">
        <v>7.63</v>
      </c>
      <c r="F43" s="144">
        <v>7.31</v>
      </c>
      <c r="G43" s="145">
        <v>7.15</v>
      </c>
      <c r="H43" s="146">
        <v>992.6</v>
      </c>
      <c r="I43" s="147">
        <v>625.70000000000005</v>
      </c>
      <c r="J43" s="148">
        <v>562.79999999999995</v>
      </c>
    </row>
    <row r="44" spans="2:16" ht="15">
      <c r="B44" s="5">
        <v>41</v>
      </c>
      <c r="C44" s="120">
        <v>178</v>
      </c>
      <c r="D44" s="134" t="s">
        <v>26</v>
      </c>
      <c r="E44" s="143">
        <v>7.33</v>
      </c>
      <c r="F44" s="144">
        <v>7.17</v>
      </c>
      <c r="G44" s="145">
        <v>7.07</v>
      </c>
      <c r="H44" s="146">
        <v>1006.5</v>
      </c>
      <c r="I44" s="147">
        <v>629.9</v>
      </c>
      <c r="J44" s="148">
        <v>565.5</v>
      </c>
    </row>
    <row r="45" spans="2:16" ht="15">
      <c r="B45" s="5">
        <v>42</v>
      </c>
      <c r="C45" s="120">
        <v>319</v>
      </c>
      <c r="D45" s="134" t="s">
        <v>160</v>
      </c>
      <c r="E45" s="143">
        <v>7.18</v>
      </c>
      <c r="F45" s="144">
        <v>6.99</v>
      </c>
      <c r="G45" s="145">
        <v>6.88</v>
      </c>
      <c r="H45" s="146">
        <v>1013.4</v>
      </c>
      <c r="I45" s="147">
        <v>635.5</v>
      </c>
      <c r="J45" s="148">
        <v>571.9</v>
      </c>
    </row>
    <row r="46" spans="2:16" ht="15">
      <c r="B46" s="5">
        <v>43</v>
      </c>
      <c r="C46" s="120">
        <v>4323</v>
      </c>
      <c r="D46" s="134" t="s">
        <v>39</v>
      </c>
      <c r="E46" s="143">
        <v>7.23</v>
      </c>
      <c r="F46" s="144">
        <v>6.95</v>
      </c>
      <c r="G46" s="145">
        <v>7.45</v>
      </c>
      <c r="H46" s="146">
        <v>1010.8</v>
      </c>
      <c r="I46" s="147">
        <v>636.6</v>
      </c>
      <c r="J46" s="148">
        <v>553.4</v>
      </c>
      <c r="P46" t="s">
        <v>214</v>
      </c>
    </row>
    <row r="47" spans="2:16" ht="15">
      <c r="B47" s="5">
        <v>44</v>
      </c>
      <c r="C47" s="120">
        <v>1985</v>
      </c>
      <c r="D47" s="134" t="s">
        <v>34</v>
      </c>
      <c r="E47" s="143">
        <v>7.23</v>
      </c>
      <c r="F47" s="144">
        <v>6.85</v>
      </c>
      <c r="G47" s="145">
        <v>6.8</v>
      </c>
      <c r="H47" s="146">
        <v>1010.9</v>
      </c>
      <c r="I47" s="147">
        <v>639.9</v>
      </c>
      <c r="J47" s="148">
        <v>574.5</v>
      </c>
    </row>
    <row r="48" spans="2:16" ht="15">
      <c r="B48" s="5">
        <v>45</v>
      </c>
      <c r="C48" s="120">
        <v>162</v>
      </c>
      <c r="D48" s="134" t="s">
        <v>232</v>
      </c>
      <c r="E48" s="143">
        <v>6.96</v>
      </c>
      <c r="F48" s="144">
        <v>6.84</v>
      </c>
      <c r="G48" s="145">
        <v>6.95</v>
      </c>
      <c r="H48" s="146">
        <v>1024.3</v>
      </c>
      <c r="I48" s="147">
        <v>640.4</v>
      </c>
      <c r="J48" s="148">
        <v>569.4</v>
      </c>
    </row>
    <row r="49" spans="2:10" ht="15">
      <c r="B49" s="5">
        <v>46</v>
      </c>
      <c r="C49" s="120">
        <v>1101</v>
      </c>
      <c r="D49" s="135" t="s">
        <v>161</v>
      </c>
      <c r="E49" s="143">
        <v>6.88</v>
      </c>
      <c r="F49" s="144">
        <v>6.76</v>
      </c>
      <c r="G49" s="145">
        <v>6.39</v>
      </c>
      <c r="H49" s="146">
        <v>1028.2</v>
      </c>
      <c r="I49" s="147">
        <v>643.1</v>
      </c>
      <c r="J49" s="148">
        <v>589.70000000000005</v>
      </c>
    </row>
    <row r="50" spans="2:10" ht="15">
      <c r="B50" s="5">
        <v>47</v>
      </c>
      <c r="C50" s="123" t="s">
        <v>88</v>
      </c>
      <c r="D50" s="134" t="s">
        <v>233</v>
      </c>
      <c r="E50" s="143">
        <v>6.94</v>
      </c>
      <c r="F50" s="144">
        <v>6.72</v>
      </c>
      <c r="G50" s="145">
        <v>6.49</v>
      </c>
      <c r="H50" s="146">
        <v>1025.0999999999999</v>
      </c>
      <c r="I50" s="147">
        <v>644.20000000000005</v>
      </c>
      <c r="J50" s="148">
        <v>585.79999999999995</v>
      </c>
    </row>
    <row r="51" spans="2:10" ht="15">
      <c r="B51" s="5">
        <v>48</v>
      </c>
      <c r="C51" s="122" t="s">
        <v>88</v>
      </c>
      <c r="D51" s="134" t="s">
        <v>45</v>
      </c>
      <c r="E51" s="143">
        <v>7.01</v>
      </c>
      <c r="F51" s="144">
        <v>6.7</v>
      </c>
      <c r="G51" s="145">
        <v>6.85</v>
      </c>
      <c r="H51" s="146">
        <v>1021.8</v>
      </c>
      <c r="I51" s="147">
        <v>644.79999999999995</v>
      </c>
      <c r="J51" s="148">
        <v>572.79999999999995</v>
      </c>
    </row>
    <row r="52" spans="2:10" ht="15">
      <c r="B52" s="5">
        <v>49</v>
      </c>
      <c r="C52" s="120">
        <v>2759</v>
      </c>
      <c r="D52" s="134" t="s">
        <v>38</v>
      </c>
      <c r="E52" s="143">
        <v>6.75</v>
      </c>
      <c r="F52" s="144">
        <v>6.67</v>
      </c>
      <c r="G52" s="145">
        <v>6.68</v>
      </c>
      <c r="H52" s="146">
        <v>1034.8</v>
      </c>
      <c r="I52" s="147">
        <v>646</v>
      </c>
      <c r="J52" s="148">
        <v>578.79999999999995</v>
      </c>
    </row>
    <row r="53" spans="2:10" ht="15">
      <c r="B53" s="5">
        <v>50</v>
      </c>
      <c r="C53" s="120">
        <v>4469</v>
      </c>
      <c r="D53" s="445" t="s">
        <v>41</v>
      </c>
      <c r="E53" s="143">
        <v>6.54</v>
      </c>
      <c r="F53" s="144">
        <v>6.6</v>
      </c>
      <c r="G53" s="145">
        <v>6.69</v>
      </c>
      <c r="H53" s="146">
        <v>1046.0999999999999</v>
      </c>
      <c r="I53" s="147">
        <v>648.5</v>
      </c>
      <c r="J53" s="148">
        <v>578.4</v>
      </c>
    </row>
    <row r="54" spans="2:10" ht="15">
      <c r="B54" s="5">
        <v>51</v>
      </c>
      <c r="C54" s="446">
        <v>4855</v>
      </c>
      <c r="D54" s="447" t="s">
        <v>43</v>
      </c>
      <c r="E54" s="143">
        <v>5.8</v>
      </c>
      <c r="F54" s="144">
        <v>6.06</v>
      </c>
      <c r="G54" s="145">
        <v>6.96</v>
      </c>
      <c r="H54" s="146">
        <v>1089.5</v>
      </c>
      <c r="I54" s="147">
        <v>668.1</v>
      </c>
      <c r="J54" s="148">
        <v>569.1</v>
      </c>
    </row>
    <row r="55" spans="2:10" ht="15">
      <c r="B55" s="5">
        <v>52</v>
      </c>
      <c r="C55" s="123">
        <v>5273</v>
      </c>
      <c r="D55" s="447" t="s">
        <v>344</v>
      </c>
      <c r="E55" s="143">
        <v>5.76</v>
      </c>
      <c r="F55" s="144">
        <v>5.7</v>
      </c>
      <c r="G55" s="145">
        <v>5.93</v>
      </c>
      <c r="H55" s="146">
        <v>1092.5</v>
      </c>
      <c r="I55" s="147">
        <v>682.3</v>
      </c>
      <c r="J55" s="148">
        <v>607.79999999999995</v>
      </c>
    </row>
    <row r="56" spans="2:10" ht="15">
      <c r="B56" s="5"/>
      <c r="C56" s="101"/>
      <c r="D56" s="100"/>
      <c r="E56" s="100"/>
      <c r="F56" s="100"/>
      <c r="G56" s="102"/>
      <c r="H56" s="104"/>
      <c r="I56" s="104"/>
      <c r="J56" s="104"/>
    </row>
    <row r="57" spans="2:10" ht="15">
      <c r="B57" s="5"/>
      <c r="C57" s="101"/>
      <c r="D57" s="100"/>
      <c r="E57" s="100"/>
      <c r="F57" s="100"/>
      <c r="G57" s="102"/>
      <c r="H57" s="104"/>
      <c r="I57" s="104"/>
      <c r="J57" s="104"/>
    </row>
    <row r="58" spans="2:10">
      <c r="B58" s="29"/>
      <c r="C58" s="29"/>
      <c r="D58" s="29"/>
      <c r="E58" s="29"/>
      <c r="F58" s="29"/>
      <c r="G58" s="103"/>
      <c r="H58" s="105"/>
      <c r="I58" s="105"/>
      <c r="J58" s="105"/>
    </row>
    <row r="59" spans="2:10">
      <c r="B59" s="29"/>
      <c r="C59" s="29"/>
      <c r="D59" s="29"/>
      <c r="E59" s="29"/>
      <c r="F59" s="29"/>
      <c r="G59" s="103"/>
      <c r="H59" s="105"/>
      <c r="I59" s="105"/>
      <c r="J59" s="105"/>
    </row>
    <row r="60" spans="2:10">
      <c r="B60" s="29"/>
      <c r="C60" s="29"/>
      <c r="D60" s="29"/>
      <c r="E60" s="29"/>
      <c r="F60" s="29"/>
      <c r="G60" s="103"/>
      <c r="H60" s="105"/>
      <c r="I60" s="105"/>
      <c r="J60" s="105"/>
    </row>
    <row r="61" spans="2:10">
      <c r="B61" s="29"/>
      <c r="C61" s="29"/>
      <c r="D61" s="29"/>
      <c r="E61" s="29"/>
      <c r="F61" s="29"/>
      <c r="G61" s="103"/>
      <c r="H61" s="105"/>
      <c r="I61" s="105"/>
      <c r="J61" s="105"/>
    </row>
    <row r="62" spans="2:10">
      <c r="B62" s="29"/>
      <c r="C62" s="29"/>
      <c r="D62" s="29"/>
      <c r="E62" s="29"/>
      <c r="F62" s="29"/>
      <c r="G62" s="103"/>
      <c r="H62" s="105"/>
      <c r="I62" s="105"/>
      <c r="J62" s="105"/>
    </row>
    <row r="66" spans="3:3">
      <c r="C66" s="4" t="s">
        <v>283</v>
      </c>
    </row>
  </sheetData>
  <sheetProtection algorithmName="SHA-512" hashValue="ws672diE3xmcDYda+lvFY0SSA/MF06NrywKZLiBqd2sDNYgFngOYwrveNdjFvRl7ciQQ1rAN6rji7g+z7Vko8A==" saltValue="T5iKtrs6O4OYN2YGdBF8hA==" spinCount="100000" sheet="1" objects="1" scenarios="1"/>
  <phoneticPr fontId="3"/>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20</vt:i4>
      </vt:variant>
    </vt:vector>
  </HeadingPairs>
  <TitlesOfParts>
    <vt:vector size="29" baseType="lpstr">
      <vt:lpstr>1月</vt:lpstr>
      <vt:lpstr>2月</vt:lpstr>
      <vt:lpstr>3月</vt:lpstr>
      <vt:lpstr>4月</vt:lpstr>
      <vt:lpstr>5月</vt:lpstr>
      <vt:lpstr>6月</vt:lpstr>
      <vt:lpstr>得点計</vt:lpstr>
      <vt:lpstr>ｺﾐｯﾃｨｰ</vt:lpstr>
      <vt:lpstr>参照ﾃﾞｰﾀ</vt:lpstr>
      <vt:lpstr>'1月'!Print_Area</vt:lpstr>
      <vt:lpstr>'2月'!Print_Area</vt:lpstr>
      <vt:lpstr>'3月'!Print_Area</vt:lpstr>
      <vt:lpstr>'4月'!Print_Area</vt:lpstr>
      <vt:lpstr>'5月'!Print_Area</vt:lpstr>
      <vt:lpstr>'6月'!Print_Area</vt:lpstr>
      <vt:lpstr>ｺﾐｯﾃｨｰ!Print_Area</vt:lpstr>
      <vt:lpstr>得点計!Print_Area</vt:lpstr>
      <vt:lpstr>ＴＡ</vt:lpstr>
      <vt:lpstr>コース</vt:lpstr>
      <vt:lpstr>コース・距離</vt:lpstr>
      <vt:lpstr>レース番号</vt:lpstr>
      <vt:lpstr>レース名</vt:lpstr>
      <vt:lpstr>開催日</vt:lpstr>
      <vt:lpstr>各艇データ</vt:lpstr>
      <vt:lpstr>月</vt:lpstr>
      <vt:lpstr>暫定</vt:lpstr>
      <vt:lpstr>時刻</vt:lpstr>
      <vt:lpstr>得点</vt:lpstr>
      <vt:lpstr>年</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小網代ヨットクラブ KFRレース委員会</dc:creator>
  <cp:lastModifiedBy>nomura</cp:lastModifiedBy>
  <cp:lastPrinted>2019-03-17T06:18:23Z</cp:lastPrinted>
  <dcterms:created xsi:type="dcterms:W3CDTF">2015-05-21T03:15:11Z</dcterms:created>
  <dcterms:modified xsi:type="dcterms:W3CDTF">2019-07-21T11:16:58Z</dcterms:modified>
</cp:coreProperties>
</file>