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d.docs.live.net/871894e3c1a01ec5/デスクトップ/KFRレース/KFR2025表彰/"/>
    </mc:Choice>
  </mc:AlternateContent>
  <xr:revisionPtr revIDLastSave="20" documentId="8_{C953FB84-42F5-4E4E-8422-1AE78714EB9E}" xr6:coauthVersionLast="47" xr6:coauthVersionMax="47" xr10:uidLastSave="{E768B5A7-65ED-4D75-915A-D830DEF84B3B}"/>
  <bookViews>
    <workbookView xWindow="340" yWindow="750" windowWidth="16440" windowHeight="14200" tabRatio="632" activeTab="6" xr2:uid="{00000000-000D-0000-FFFF-FFFF00000000}"/>
  </bookViews>
  <sheets>
    <sheet name="7月" sheetId="27" r:id="rId1"/>
    <sheet name="8月" sheetId="30" r:id="rId2"/>
    <sheet name="9月" sheetId="32" r:id="rId3"/>
    <sheet name="10月" sheetId="33" r:id="rId4"/>
    <sheet name="11月" sheetId="35" r:id="rId5"/>
    <sheet name="12月" sheetId="36" r:id="rId6"/>
    <sheet name="得点計" sheetId="19" r:id="rId7"/>
    <sheet name="ｺﾐｯﾃｨｰ" sheetId="20" r:id="rId8"/>
    <sheet name="参照ﾃﾞｰﾀ" sheetId="2" r:id="rId9"/>
    <sheet name="参照ＴＡ" sheetId="37" r:id="rId10"/>
    <sheet name="9月 (KFRランデブー)" sheetId="34" r:id="rId11"/>
  </sheets>
  <definedNames>
    <definedName name="_xlnm._FilterDatabase" localSheetId="3" hidden="1">'10月'!$C$7:$K$17</definedName>
    <definedName name="_xlnm._FilterDatabase" localSheetId="4" hidden="1">'11月'!$C$7:$K$20</definedName>
    <definedName name="_xlnm._FilterDatabase" localSheetId="5" hidden="1">'12月'!$C$7:$K$20</definedName>
    <definedName name="_xlnm._FilterDatabase" localSheetId="0" hidden="1">'7月'!$C$7:$K$20</definedName>
    <definedName name="_xlnm._FilterDatabase" localSheetId="1" hidden="1">'8月'!$C$7:$K$20</definedName>
    <definedName name="_xlnm._FilterDatabase" localSheetId="2" hidden="1">'9月'!$C$7:$K$20</definedName>
    <definedName name="_xlnm._FilterDatabase" localSheetId="10" hidden="1">'9月 (KFRランデブー)'!$C$7:$K$20</definedName>
    <definedName name="_xlnm._FilterDatabase" localSheetId="6" hidden="1">得点計!$C$7:$K$26</definedName>
    <definedName name="AccessDatabase" hidden="1">"A:\フリートレース.mdb"</definedName>
    <definedName name="Button_1">"フリートレース_月別フォーマット_List"</definedName>
    <definedName name="Button_2">"フリートレース_月別フォーマット_List"</definedName>
    <definedName name="Button_3">"フリートレース_月別フォーマット_List"</definedName>
    <definedName name="Button_4">"フリートレース_月別フォーマット_List"</definedName>
    <definedName name="Button_7">"フリートレース_各艇データ__2__List"</definedName>
    <definedName name="Button_8">"フリートレース_各艇データ__2__List"</definedName>
    <definedName name="_xlnm.Print_Area" localSheetId="3">'10月'!$B$2:$Q$41</definedName>
    <definedName name="_xlnm.Print_Area" localSheetId="4">'11月'!$B$2:$Q$41</definedName>
    <definedName name="_xlnm.Print_Area" localSheetId="5">'12月'!$B$2:$Q$41</definedName>
    <definedName name="_xlnm.Print_Area" localSheetId="0">'7月'!$B$2:$Q$41</definedName>
    <definedName name="_xlnm.Print_Area" localSheetId="1">'8月'!$B$2:$Q$41</definedName>
    <definedName name="_xlnm.Print_Area" localSheetId="2">'9月'!$B$2:$Q$41</definedName>
    <definedName name="_xlnm.Print_Area" localSheetId="10">'9月 (KFRランデブー)'!$B$2:$Q$41</definedName>
    <definedName name="_xlnm.Print_Area" localSheetId="7">ｺﾐｯﾃｨｰ!$B$2:$M$33</definedName>
    <definedName name="_xlnm.Print_Area" localSheetId="9">参照ＴＡ!$R$4:$X$49</definedName>
    <definedName name="_xlnm.Print_Area" localSheetId="6">得点計!$B$1:$AF$48</definedName>
    <definedName name="ＴＡ">参照ﾃﾞｰﾀ!$S$3:$S$7</definedName>
    <definedName name="コース">参照ﾃﾞｰﾀ!$B$3:$B$15</definedName>
    <definedName name="コース・距離">参照ﾃﾞｰﾀ!$B$3:$D$15</definedName>
    <definedName name="フリートレース_各艇データ__2__List" localSheetId="3">#REF!</definedName>
    <definedName name="フリートレース_各艇データ__2__List" localSheetId="4">#REF!</definedName>
    <definedName name="フリートレース_各艇データ__2__List" localSheetId="5">#REF!</definedName>
    <definedName name="フリートレース_各艇データ__2__List" localSheetId="1">#REF!</definedName>
    <definedName name="フリートレース_各艇データ__2__List" localSheetId="2">#REF!</definedName>
    <definedName name="フリートレース_各艇データ__2__List" localSheetId="10">#REF!</definedName>
    <definedName name="フリートレース_各艇データ__2__List">#REF!</definedName>
    <definedName name="フリートレース_月別フォーマット_List" localSheetId="3">#REF!</definedName>
    <definedName name="フリートレース_月別フォーマット_List" localSheetId="4">#REF!</definedName>
    <definedName name="フリートレース_月別フォーマット_List" localSheetId="5">#REF!</definedName>
    <definedName name="フリートレース_月別フォーマット_List" localSheetId="1">#REF!</definedName>
    <definedName name="フリートレース_月別フォーマット_List" localSheetId="2">#REF!</definedName>
    <definedName name="フリートレース_月別フォーマット_List" localSheetId="10">#REF!</definedName>
    <definedName name="フリートレース_月別フォーマット_List">#REF!</definedName>
    <definedName name="ランデブーレースＴＡ">参照ＴＡ!$AY$6:$BD$60</definedName>
    <definedName name="レース番号">参照ﾃﾞｰﾀ!$M$3:$M$18</definedName>
    <definedName name="レース名">参照ﾃﾞｰﾀ!$O$3:$O$6</definedName>
    <definedName name="開催日">参照ﾃﾞｰﾀ!$J$3:$J$18</definedName>
    <definedName name="各艇データ">参照ﾃﾞｰﾀ!#REF!</definedName>
    <definedName name="月">参照ﾃﾞｰﾀ!$H$3:$H$16</definedName>
    <definedName name="暫定">参照ﾃﾞｰﾀ!$Q$3:$Q$5</definedName>
    <definedName name="時刻">参照ﾃﾞｰﾀ!$U$3:$U$12</definedName>
    <definedName name="第1月ＴＡ">参照ＴＡ!$C$6:$H$60</definedName>
    <definedName name="第2月ＴＡ">参照ＴＡ!$K$6:$P$60</definedName>
    <definedName name="第3月ＴＡ">参照ＴＡ!$S$6:$X$60</definedName>
    <definedName name="第4月ＴＡ">参照ＴＡ!$AA$6:$AF$60</definedName>
    <definedName name="第5月ＴＡ">参照ＴＡ!$AI$6:$AN$60</definedName>
    <definedName name="第6月ＴＡ">参照ＴＡ!$AQ$6:$AV$60</definedName>
    <definedName name="得点">参照ﾃﾞｰﾀ!$W$3:$W$7</definedName>
    <definedName name="年">参照ﾃﾞｰﾀ!$F$3:$F$12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36" l="1"/>
  <c r="D27" i="19"/>
  <c r="D24" i="19"/>
  <c r="O6" i="33"/>
  <c r="O6" i="32" l="1"/>
  <c r="N3" i="32"/>
  <c r="T31" i="19"/>
  <c r="T32" i="19"/>
  <c r="T33" i="19"/>
  <c r="T34" i="19"/>
  <c r="T35" i="19"/>
  <c r="T36" i="19"/>
  <c r="T29" i="19"/>
  <c r="T30" i="19"/>
  <c r="D17" i="30" l="1"/>
  <c r="D16" i="30"/>
  <c r="X12" i="30"/>
  <c r="Y12" i="30"/>
  <c r="D20" i="30"/>
  <c r="D19" i="27"/>
  <c r="O6" i="35"/>
  <c r="N3" i="27"/>
  <c r="N3" i="30"/>
  <c r="D26" i="19"/>
  <c r="D21" i="19"/>
  <c r="D17" i="19"/>
  <c r="D10" i="19"/>
  <c r="D19" i="19"/>
  <c r="D12" i="19"/>
  <c r="D25" i="19"/>
  <c r="D20" i="19"/>
  <c r="D15" i="19"/>
  <c r="D14" i="19"/>
  <c r="D16" i="19"/>
  <c r="D11" i="19"/>
  <c r="D23" i="19"/>
  <c r="D13" i="19"/>
  <c r="D8" i="19"/>
  <c r="D7" i="19"/>
  <c r="D9" i="19"/>
  <c r="G35" i="34"/>
  <c r="V8" i="34" l="1"/>
  <c r="W8" i="34"/>
  <c r="X8" i="34"/>
  <c r="V9" i="34"/>
  <c r="W9" i="34"/>
  <c r="X9" i="34"/>
  <c r="V10" i="34"/>
  <c r="W10" i="34"/>
  <c r="X10" i="34"/>
  <c r="V11" i="34"/>
  <c r="W11" i="34"/>
  <c r="X11" i="34"/>
  <c r="V12" i="34"/>
  <c r="W12" i="34"/>
  <c r="X12" i="34"/>
  <c r="V13" i="34"/>
  <c r="W13" i="34"/>
  <c r="X13" i="34"/>
  <c r="V14" i="34"/>
  <c r="W14" i="34"/>
  <c r="X14" i="34"/>
  <c r="V15" i="34"/>
  <c r="W15" i="34"/>
  <c r="X15" i="34"/>
  <c r="V16" i="34"/>
  <c r="W16" i="34"/>
  <c r="X16" i="34"/>
  <c r="V17" i="34"/>
  <c r="W17" i="34"/>
  <c r="X17" i="34"/>
  <c r="V18" i="34"/>
  <c r="W18" i="34"/>
  <c r="X18" i="34"/>
  <c r="V19" i="34"/>
  <c r="W19" i="34"/>
  <c r="X19" i="34"/>
  <c r="V20" i="34"/>
  <c r="W20" i="34"/>
  <c r="X20" i="34"/>
  <c r="V21" i="34"/>
  <c r="W21" i="34"/>
  <c r="X21" i="34"/>
  <c r="V22" i="34"/>
  <c r="W22" i="34"/>
  <c r="X22" i="34"/>
  <c r="V23" i="34"/>
  <c r="W23" i="34"/>
  <c r="X23" i="34"/>
  <c r="V24" i="34"/>
  <c r="W24" i="34"/>
  <c r="X24" i="34"/>
  <c r="V25" i="34"/>
  <c r="W25" i="34"/>
  <c r="X25" i="34"/>
  <c r="V26" i="34"/>
  <c r="W26" i="34"/>
  <c r="X26" i="34"/>
  <c r="V27" i="34"/>
  <c r="W27" i="34"/>
  <c r="X27" i="34"/>
  <c r="V28" i="34"/>
  <c r="W28" i="34"/>
  <c r="X28" i="34"/>
  <c r="V29" i="34"/>
  <c r="W29" i="34"/>
  <c r="X29" i="34"/>
  <c r="V30" i="34"/>
  <c r="W30" i="34"/>
  <c r="X30" i="34"/>
  <c r="V31" i="34"/>
  <c r="W31" i="34"/>
  <c r="X31" i="34"/>
  <c r="X7" i="34"/>
  <c r="W7" i="34"/>
  <c r="D8" i="34"/>
  <c r="D9" i="34"/>
  <c r="D10" i="34"/>
  <c r="D11" i="34"/>
  <c r="D12" i="34"/>
  <c r="D13" i="34"/>
  <c r="D14" i="34"/>
  <c r="D15" i="34"/>
  <c r="D16" i="34"/>
  <c r="D17" i="34"/>
  <c r="D18" i="34"/>
  <c r="D19" i="34"/>
  <c r="D20" i="34"/>
  <c r="D21" i="34"/>
  <c r="D22" i="34"/>
  <c r="D23" i="34"/>
  <c r="D24" i="34"/>
  <c r="D25" i="34"/>
  <c r="D26" i="34"/>
  <c r="D27" i="34"/>
  <c r="D28" i="34"/>
  <c r="D29" i="34"/>
  <c r="D30" i="34"/>
  <c r="D31" i="34"/>
  <c r="D7" i="34"/>
  <c r="V7" i="34"/>
  <c r="AZ3" i="37"/>
  <c r="AX3" i="37"/>
  <c r="X7" i="35" l="1"/>
  <c r="D8" i="35" l="1"/>
  <c r="D10" i="35"/>
  <c r="D9" i="35"/>
  <c r="D14" i="35"/>
  <c r="D13" i="35"/>
  <c r="D11" i="35"/>
  <c r="D16" i="35"/>
  <c r="D12" i="35"/>
  <c r="D15" i="35"/>
  <c r="D18" i="35"/>
  <c r="D20" i="35"/>
  <c r="D17" i="35"/>
  <c r="D19" i="35"/>
  <c r="D21" i="35"/>
  <c r="D22" i="35"/>
  <c r="D23" i="35"/>
  <c r="D24" i="35"/>
  <c r="D25" i="35"/>
  <c r="D27" i="35"/>
  <c r="D28" i="35"/>
  <c r="D29" i="35"/>
  <c r="D30" i="35"/>
  <c r="D31" i="35"/>
  <c r="D8" i="36"/>
  <c r="D9" i="36"/>
  <c r="D11" i="36"/>
  <c r="D12" i="36"/>
  <c r="D13" i="36"/>
  <c r="D14" i="36"/>
  <c r="D15" i="36"/>
  <c r="D16" i="36"/>
  <c r="D17" i="36"/>
  <c r="D18" i="36"/>
  <c r="D19" i="36"/>
  <c r="D20" i="36"/>
  <c r="D21" i="36"/>
  <c r="D22" i="36"/>
  <c r="D23" i="36"/>
  <c r="D24" i="36"/>
  <c r="D25" i="36"/>
  <c r="D26" i="36"/>
  <c r="D27" i="36"/>
  <c r="D28" i="36"/>
  <c r="D29" i="36"/>
  <c r="D30" i="36"/>
  <c r="D31" i="36"/>
  <c r="D7" i="36"/>
  <c r="D7" i="35"/>
  <c r="D7" i="33"/>
  <c r="D8" i="33"/>
  <c r="D12" i="33"/>
  <c r="D9" i="33"/>
  <c r="D13" i="33"/>
  <c r="D15" i="33"/>
  <c r="D11" i="33"/>
  <c r="D19" i="33"/>
  <c r="D17" i="33"/>
  <c r="D14" i="33"/>
  <c r="D16" i="33"/>
  <c r="D18" i="33"/>
  <c r="D21" i="33"/>
  <c r="D20" i="33"/>
  <c r="D22" i="33"/>
  <c r="D23" i="33"/>
  <c r="D24" i="33"/>
  <c r="D25" i="33"/>
  <c r="D26" i="33"/>
  <c r="D27" i="33"/>
  <c r="D28" i="33"/>
  <c r="D29" i="33"/>
  <c r="D30" i="33"/>
  <c r="D31" i="33"/>
  <c r="D10" i="33"/>
  <c r="D7" i="32"/>
  <c r="D9" i="32"/>
  <c r="D11" i="32"/>
  <c r="D10" i="32"/>
  <c r="D15" i="32"/>
  <c r="D12" i="32"/>
  <c r="D14" i="32"/>
  <c r="D17" i="32"/>
  <c r="D16" i="32"/>
  <c r="D13" i="32"/>
  <c r="D18" i="32"/>
  <c r="D19" i="32"/>
  <c r="D20" i="32"/>
  <c r="D21" i="32"/>
  <c r="D22" i="32"/>
  <c r="D23" i="32"/>
  <c r="D24" i="32"/>
  <c r="D25" i="32"/>
  <c r="D26" i="32"/>
  <c r="D27" i="32"/>
  <c r="D28" i="32"/>
  <c r="D29" i="32"/>
  <c r="D30" i="32"/>
  <c r="D31" i="32"/>
  <c r="D8" i="32"/>
  <c r="D11" i="30"/>
  <c r="D9" i="30"/>
  <c r="D12" i="30"/>
  <c r="D10" i="30"/>
  <c r="D14" i="30"/>
  <c r="D8" i="30"/>
  <c r="D13" i="30"/>
  <c r="D15" i="30"/>
  <c r="D18" i="30"/>
  <c r="D19" i="30"/>
  <c r="D21" i="30"/>
  <c r="D22" i="30"/>
  <c r="D23" i="30"/>
  <c r="D24" i="30"/>
  <c r="D25" i="30"/>
  <c r="D26" i="30"/>
  <c r="D27" i="30"/>
  <c r="D28" i="30"/>
  <c r="D29" i="30"/>
  <c r="D30" i="30"/>
  <c r="D31" i="30"/>
  <c r="D7" i="30"/>
  <c r="D7" i="27"/>
  <c r="D10" i="27"/>
  <c r="D12" i="27"/>
  <c r="D9" i="27"/>
  <c r="D13" i="27"/>
  <c r="D11" i="27"/>
  <c r="D14" i="27"/>
  <c r="D15" i="27"/>
  <c r="D16" i="27"/>
  <c r="D17" i="27"/>
  <c r="D18" i="27"/>
  <c r="D20" i="27"/>
  <c r="D21" i="27"/>
  <c r="D22" i="27"/>
  <c r="D23" i="27"/>
  <c r="D24" i="27"/>
  <c r="D25" i="27"/>
  <c r="D26" i="27"/>
  <c r="D27" i="27"/>
  <c r="D28" i="27"/>
  <c r="D29" i="27"/>
  <c r="D30" i="27"/>
  <c r="D31" i="27"/>
  <c r="D8" i="27"/>
  <c r="V8" i="36" l="1"/>
  <c r="W8" i="36"/>
  <c r="X8" i="36"/>
  <c r="V9" i="36"/>
  <c r="W9" i="36"/>
  <c r="X9" i="36"/>
  <c r="V10" i="36"/>
  <c r="W10" i="36"/>
  <c r="X10" i="36"/>
  <c r="V11" i="36"/>
  <c r="W11" i="36"/>
  <c r="X11" i="36"/>
  <c r="V12" i="36"/>
  <c r="W12" i="36"/>
  <c r="X12" i="36"/>
  <c r="V13" i="36"/>
  <c r="W13" i="36"/>
  <c r="X13" i="36"/>
  <c r="V14" i="36"/>
  <c r="W14" i="36"/>
  <c r="X14" i="36"/>
  <c r="V15" i="36"/>
  <c r="W15" i="36"/>
  <c r="X15" i="36"/>
  <c r="V16" i="36"/>
  <c r="W16" i="36"/>
  <c r="X16" i="36"/>
  <c r="V17" i="36"/>
  <c r="W17" i="36"/>
  <c r="X17" i="36"/>
  <c r="V18" i="36"/>
  <c r="W18" i="36"/>
  <c r="X18" i="36"/>
  <c r="V19" i="36"/>
  <c r="W19" i="36"/>
  <c r="X19" i="36"/>
  <c r="V20" i="36"/>
  <c r="W20" i="36"/>
  <c r="X20" i="36"/>
  <c r="V21" i="36"/>
  <c r="W21" i="36"/>
  <c r="X21" i="36"/>
  <c r="V22" i="36"/>
  <c r="W22" i="36"/>
  <c r="X22" i="36"/>
  <c r="V23" i="36"/>
  <c r="W23" i="36"/>
  <c r="X23" i="36"/>
  <c r="V24" i="36"/>
  <c r="W24" i="36"/>
  <c r="X24" i="36"/>
  <c r="V25" i="36"/>
  <c r="W25" i="36"/>
  <c r="X25" i="36"/>
  <c r="V26" i="36"/>
  <c r="W26" i="36"/>
  <c r="X26" i="36"/>
  <c r="V27" i="36"/>
  <c r="W27" i="36"/>
  <c r="X27" i="36"/>
  <c r="V28" i="36"/>
  <c r="W28" i="36"/>
  <c r="X28" i="36"/>
  <c r="V29" i="36"/>
  <c r="W29" i="36"/>
  <c r="X29" i="36"/>
  <c r="V30" i="36"/>
  <c r="W30" i="36"/>
  <c r="X30" i="36"/>
  <c r="V31" i="36"/>
  <c r="W31" i="36"/>
  <c r="X31" i="36"/>
  <c r="X7" i="36"/>
  <c r="V7" i="36"/>
  <c r="W7" i="36"/>
  <c r="V31" i="35"/>
  <c r="W31" i="35"/>
  <c r="X31" i="35"/>
  <c r="V8" i="35"/>
  <c r="W8" i="35"/>
  <c r="X8" i="35"/>
  <c r="V9" i="35"/>
  <c r="W9" i="35"/>
  <c r="X9" i="35"/>
  <c r="V10" i="35"/>
  <c r="W10" i="35"/>
  <c r="X10" i="35"/>
  <c r="V11" i="35"/>
  <c r="W11" i="35"/>
  <c r="X11" i="35"/>
  <c r="V12" i="35"/>
  <c r="W12" i="35"/>
  <c r="X12" i="35"/>
  <c r="V13" i="35"/>
  <c r="W13" i="35"/>
  <c r="X13" i="35"/>
  <c r="V14" i="35"/>
  <c r="W14" i="35"/>
  <c r="X14" i="35"/>
  <c r="V15" i="35"/>
  <c r="W15" i="35"/>
  <c r="X15" i="35"/>
  <c r="V16" i="35"/>
  <c r="W16" i="35"/>
  <c r="X16" i="35"/>
  <c r="V17" i="35"/>
  <c r="W17" i="35"/>
  <c r="X17" i="35"/>
  <c r="V18" i="35"/>
  <c r="W18" i="35"/>
  <c r="X18" i="35"/>
  <c r="V19" i="35"/>
  <c r="W19" i="35"/>
  <c r="X19" i="35"/>
  <c r="V20" i="35"/>
  <c r="W20" i="35"/>
  <c r="X20" i="35"/>
  <c r="V21" i="35"/>
  <c r="W21" i="35"/>
  <c r="X21" i="35"/>
  <c r="V22" i="35"/>
  <c r="W22" i="35"/>
  <c r="X22" i="35"/>
  <c r="V23" i="35"/>
  <c r="W23" i="35"/>
  <c r="X23" i="35"/>
  <c r="V24" i="35"/>
  <c r="W24" i="35"/>
  <c r="X24" i="35"/>
  <c r="V25" i="35"/>
  <c r="W25" i="35"/>
  <c r="X25" i="35"/>
  <c r="V26" i="35"/>
  <c r="W26" i="35"/>
  <c r="X26" i="35"/>
  <c r="V27" i="35"/>
  <c r="W27" i="35"/>
  <c r="X27" i="35"/>
  <c r="V28" i="35"/>
  <c r="W28" i="35"/>
  <c r="X28" i="35"/>
  <c r="V29" i="35"/>
  <c r="W29" i="35"/>
  <c r="X29" i="35"/>
  <c r="V30" i="35"/>
  <c r="W30" i="35"/>
  <c r="X30" i="35"/>
  <c r="W8" i="33"/>
  <c r="X8" i="33"/>
  <c r="Y8" i="33"/>
  <c r="W9" i="33"/>
  <c r="X9" i="33"/>
  <c r="Y9" i="33"/>
  <c r="W10" i="33"/>
  <c r="X10" i="33"/>
  <c r="Y10" i="33"/>
  <c r="W11" i="33"/>
  <c r="X11" i="33"/>
  <c r="Y11" i="33"/>
  <c r="W12" i="33"/>
  <c r="X12" i="33"/>
  <c r="Y12" i="33"/>
  <c r="W13" i="33"/>
  <c r="X13" i="33"/>
  <c r="Y13" i="33"/>
  <c r="W14" i="33"/>
  <c r="X14" i="33"/>
  <c r="Y14" i="33"/>
  <c r="W15" i="33"/>
  <c r="X15" i="33"/>
  <c r="Y15" i="33"/>
  <c r="W16" i="33"/>
  <c r="X16" i="33"/>
  <c r="Y16" i="33"/>
  <c r="W17" i="33"/>
  <c r="X17" i="33"/>
  <c r="Y17" i="33"/>
  <c r="W18" i="33"/>
  <c r="X18" i="33"/>
  <c r="Y18" i="33"/>
  <c r="W19" i="33"/>
  <c r="X19" i="33"/>
  <c r="Y19" i="33"/>
  <c r="W20" i="33"/>
  <c r="X20" i="33"/>
  <c r="Y20" i="33"/>
  <c r="W21" i="33"/>
  <c r="X21" i="33"/>
  <c r="Y21" i="33"/>
  <c r="W22" i="33"/>
  <c r="X22" i="33"/>
  <c r="Y22" i="33"/>
  <c r="W23" i="33"/>
  <c r="X23" i="33"/>
  <c r="Y23" i="33"/>
  <c r="W24" i="33"/>
  <c r="X24" i="33"/>
  <c r="Y24" i="33"/>
  <c r="W25" i="33"/>
  <c r="X25" i="33"/>
  <c r="Y25" i="33"/>
  <c r="W26" i="33"/>
  <c r="X26" i="33"/>
  <c r="Y26" i="33"/>
  <c r="W27" i="33"/>
  <c r="X27" i="33"/>
  <c r="Y27" i="33"/>
  <c r="W28" i="33"/>
  <c r="X28" i="33"/>
  <c r="Y28" i="33"/>
  <c r="W29" i="33"/>
  <c r="X29" i="33"/>
  <c r="Y29" i="33"/>
  <c r="W30" i="33"/>
  <c r="X30" i="33"/>
  <c r="Y30" i="33"/>
  <c r="W31" i="33"/>
  <c r="X31" i="33"/>
  <c r="Y31" i="33"/>
  <c r="W8" i="32"/>
  <c r="X8" i="32"/>
  <c r="Y8" i="32"/>
  <c r="W9" i="32"/>
  <c r="X9" i="32"/>
  <c r="Y9" i="32"/>
  <c r="W10" i="32"/>
  <c r="X10" i="32"/>
  <c r="Y10" i="32"/>
  <c r="W11" i="32"/>
  <c r="X11" i="32"/>
  <c r="Y11" i="32"/>
  <c r="W12" i="32"/>
  <c r="X12" i="32"/>
  <c r="Y12" i="32"/>
  <c r="W13" i="32"/>
  <c r="X13" i="32"/>
  <c r="Y13" i="32"/>
  <c r="W14" i="32"/>
  <c r="X14" i="32"/>
  <c r="Y14" i="32"/>
  <c r="W15" i="32"/>
  <c r="X15" i="32"/>
  <c r="Y15" i="32"/>
  <c r="W16" i="32"/>
  <c r="X16" i="32"/>
  <c r="Y16" i="32"/>
  <c r="W17" i="32"/>
  <c r="X17" i="32"/>
  <c r="Y17" i="32"/>
  <c r="W18" i="32"/>
  <c r="X18" i="32"/>
  <c r="Y18" i="32"/>
  <c r="W19" i="32"/>
  <c r="X19" i="32"/>
  <c r="Y19" i="32"/>
  <c r="W20" i="32"/>
  <c r="X20" i="32"/>
  <c r="Y20" i="32"/>
  <c r="W21" i="32"/>
  <c r="X21" i="32"/>
  <c r="Y21" i="32"/>
  <c r="W22" i="32"/>
  <c r="X22" i="32"/>
  <c r="Y22" i="32"/>
  <c r="W23" i="32"/>
  <c r="X23" i="32"/>
  <c r="Y23" i="32"/>
  <c r="W24" i="32"/>
  <c r="X24" i="32"/>
  <c r="Y24" i="32"/>
  <c r="W25" i="32"/>
  <c r="X25" i="32"/>
  <c r="Y25" i="32"/>
  <c r="W26" i="32"/>
  <c r="X26" i="32"/>
  <c r="Y26" i="32"/>
  <c r="W27" i="32"/>
  <c r="X27" i="32"/>
  <c r="Y27" i="32"/>
  <c r="W28" i="32"/>
  <c r="X28" i="32"/>
  <c r="Y28" i="32"/>
  <c r="W29" i="32"/>
  <c r="X29" i="32"/>
  <c r="Y29" i="32"/>
  <c r="W30" i="32"/>
  <c r="X30" i="32"/>
  <c r="Y30" i="32"/>
  <c r="W31" i="32"/>
  <c r="X31" i="32"/>
  <c r="Y31" i="32"/>
  <c r="W8" i="30"/>
  <c r="X8" i="30"/>
  <c r="Y8" i="30"/>
  <c r="W9" i="30"/>
  <c r="X9" i="30"/>
  <c r="Y9" i="30"/>
  <c r="W10" i="30"/>
  <c r="X10" i="30"/>
  <c r="Y10" i="30"/>
  <c r="W11" i="30"/>
  <c r="X11" i="30"/>
  <c r="Y11" i="30"/>
  <c r="W12" i="30"/>
  <c r="W13" i="30"/>
  <c r="X13" i="30"/>
  <c r="Y13" i="30"/>
  <c r="W14" i="30"/>
  <c r="X14" i="30"/>
  <c r="Y14" i="30"/>
  <c r="W15" i="30"/>
  <c r="X15" i="30"/>
  <c r="Y15" i="30"/>
  <c r="W16" i="30"/>
  <c r="X16" i="30"/>
  <c r="Y16" i="30"/>
  <c r="W17" i="30"/>
  <c r="X17" i="30"/>
  <c r="Y17" i="30"/>
  <c r="W18" i="30"/>
  <c r="X18" i="30"/>
  <c r="Y18" i="30"/>
  <c r="W19" i="30"/>
  <c r="X19" i="30"/>
  <c r="Y19" i="30"/>
  <c r="W20" i="30"/>
  <c r="X20" i="30"/>
  <c r="Y20" i="30"/>
  <c r="W21" i="30"/>
  <c r="X21" i="30"/>
  <c r="Y21" i="30"/>
  <c r="W22" i="30"/>
  <c r="X22" i="30"/>
  <c r="Y22" i="30"/>
  <c r="W23" i="30"/>
  <c r="X23" i="30"/>
  <c r="Y23" i="30"/>
  <c r="W24" i="30"/>
  <c r="X24" i="30"/>
  <c r="Y24" i="30"/>
  <c r="W25" i="30"/>
  <c r="X25" i="30"/>
  <c r="Y25" i="30"/>
  <c r="W26" i="30"/>
  <c r="X26" i="30"/>
  <c r="Y26" i="30"/>
  <c r="W27" i="30"/>
  <c r="X27" i="30"/>
  <c r="Y27" i="30"/>
  <c r="W28" i="30"/>
  <c r="X28" i="30"/>
  <c r="Y28" i="30"/>
  <c r="W29" i="30"/>
  <c r="X29" i="30"/>
  <c r="Y29" i="30"/>
  <c r="W30" i="30"/>
  <c r="X30" i="30"/>
  <c r="Y30" i="30"/>
  <c r="W31" i="30"/>
  <c r="X31" i="30"/>
  <c r="Y31" i="30"/>
  <c r="W12" i="27" l="1"/>
  <c r="X12" i="27"/>
  <c r="Y12" i="27"/>
  <c r="W13" i="27"/>
  <c r="X13" i="27"/>
  <c r="Y13" i="27"/>
  <c r="W14" i="27"/>
  <c r="X14" i="27"/>
  <c r="Y14" i="27"/>
  <c r="W15" i="27"/>
  <c r="X15" i="27"/>
  <c r="Y15" i="27"/>
  <c r="W16" i="27"/>
  <c r="X16" i="27"/>
  <c r="Y16" i="27"/>
  <c r="W17" i="27"/>
  <c r="X17" i="27"/>
  <c r="Y17" i="27"/>
  <c r="W18" i="27"/>
  <c r="X18" i="27"/>
  <c r="Y18" i="27"/>
  <c r="W19" i="27"/>
  <c r="X19" i="27"/>
  <c r="Y19" i="27"/>
  <c r="W20" i="27"/>
  <c r="X20" i="27"/>
  <c r="Y20" i="27"/>
  <c r="W21" i="27"/>
  <c r="X21" i="27"/>
  <c r="Y21" i="27"/>
  <c r="W22" i="27"/>
  <c r="X22" i="27"/>
  <c r="Y22" i="27"/>
  <c r="W23" i="27"/>
  <c r="X23" i="27"/>
  <c r="Y23" i="27"/>
  <c r="W24" i="27"/>
  <c r="X24" i="27"/>
  <c r="Y24" i="27"/>
  <c r="W25" i="27"/>
  <c r="X25" i="27"/>
  <c r="Y25" i="27"/>
  <c r="W26" i="27"/>
  <c r="X26" i="27"/>
  <c r="Y26" i="27"/>
  <c r="W27" i="27"/>
  <c r="X27" i="27"/>
  <c r="Y27" i="27"/>
  <c r="W28" i="27"/>
  <c r="X28" i="27"/>
  <c r="Y28" i="27"/>
  <c r="W29" i="27"/>
  <c r="X29" i="27"/>
  <c r="Y29" i="27"/>
  <c r="W30" i="27"/>
  <c r="X30" i="27"/>
  <c r="Y30" i="27"/>
  <c r="W31" i="27"/>
  <c r="X31" i="27"/>
  <c r="Y31" i="27"/>
  <c r="W7" i="35" l="1"/>
  <c r="V7" i="35"/>
  <c r="X7" i="33"/>
  <c r="Y7" i="33"/>
  <c r="W7" i="33"/>
  <c r="Y7" i="32"/>
  <c r="X7" i="32"/>
  <c r="W7" i="32"/>
  <c r="Y7" i="30"/>
  <c r="X7" i="30"/>
  <c r="W7" i="30"/>
  <c r="Y8" i="27"/>
  <c r="Y9" i="27"/>
  <c r="Y10" i="27"/>
  <c r="Y11" i="27"/>
  <c r="X8" i="27"/>
  <c r="X9" i="27"/>
  <c r="X10" i="27"/>
  <c r="X11" i="27"/>
  <c r="W8" i="27"/>
  <c r="W9" i="27"/>
  <c r="W10" i="27"/>
  <c r="W11" i="27"/>
  <c r="W7" i="27"/>
  <c r="Y7" i="27"/>
  <c r="X7" i="27"/>
  <c r="AP3" i="37" l="1"/>
  <c r="V2" i="36" s="1"/>
  <c r="AR3" i="37"/>
  <c r="W2" i="36" s="1"/>
  <c r="AJ3" i="37"/>
  <c r="W2" i="35" s="1"/>
  <c r="AH3" i="37"/>
  <c r="V2" i="35" s="1"/>
  <c r="AB3" i="37"/>
  <c r="X2" i="33" s="1"/>
  <c r="Z3" i="37"/>
  <c r="W2" i="33" s="1"/>
  <c r="T3" i="37"/>
  <c r="X2" i="32" s="1"/>
  <c r="R3" i="37"/>
  <c r="W2" i="32" s="1"/>
  <c r="L3" i="37"/>
  <c r="X2" i="30" s="1"/>
  <c r="J3" i="37"/>
  <c r="W2" i="30" s="1"/>
  <c r="D3" i="37"/>
  <c r="X2" i="27" s="1"/>
  <c r="B3" i="37"/>
  <c r="W2" i="27" s="1"/>
  <c r="F39" i="36" l="1"/>
  <c r="AG10" i="2" l="1"/>
  <c r="I26" i="36" l="1"/>
  <c r="H26" i="36"/>
  <c r="I25" i="36"/>
  <c r="H25" i="36"/>
  <c r="I24" i="36"/>
  <c r="H24" i="36"/>
  <c r="I23" i="36"/>
  <c r="H23" i="36"/>
  <c r="I22" i="36"/>
  <c r="H22" i="36"/>
  <c r="I21" i="36"/>
  <c r="H21" i="36"/>
  <c r="I20" i="36"/>
  <c r="H20" i="36"/>
  <c r="I19" i="36"/>
  <c r="H19" i="36"/>
  <c r="I18" i="36"/>
  <c r="H18" i="36"/>
  <c r="I17" i="36"/>
  <c r="H17" i="36"/>
  <c r="I16" i="36"/>
  <c r="H16" i="36"/>
  <c r="I15" i="36"/>
  <c r="H15" i="36"/>
  <c r="I14" i="36"/>
  <c r="H14" i="36"/>
  <c r="I13" i="36"/>
  <c r="H13" i="36"/>
  <c r="I12" i="36"/>
  <c r="H12" i="36"/>
  <c r="E26" i="36"/>
  <c r="E25" i="36"/>
  <c r="E24" i="36"/>
  <c r="E23" i="36"/>
  <c r="E22" i="36"/>
  <c r="E21" i="36"/>
  <c r="E20" i="36"/>
  <c r="E19" i="36"/>
  <c r="E18" i="36"/>
  <c r="E17" i="36"/>
  <c r="E16" i="36"/>
  <c r="E15" i="36"/>
  <c r="E14" i="36"/>
  <c r="E13" i="36"/>
  <c r="E12" i="36"/>
  <c r="I26" i="35"/>
  <c r="H26" i="35"/>
  <c r="I25" i="35"/>
  <c r="H25" i="35"/>
  <c r="E25" i="35"/>
  <c r="I26" i="32"/>
  <c r="H26" i="32"/>
  <c r="I25" i="32"/>
  <c r="H25" i="32"/>
  <c r="I24" i="32"/>
  <c r="H24" i="32"/>
  <c r="I23" i="32"/>
  <c r="H23" i="32"/>
  <c r="I22" i="32"/>
  <c r="H22" i="32"/>
  <c r="E26" i="32"/>
  <c r="E25" i="32"/>
  <c r="E24" i="32"/>
  <c r="E23" i="32"/>
  <c r="E22" i="32"/>
  <c r="I26" i="30"/>
  <c r="H26" i="30"/>
  <c r="I25" i="30"/>
  <c r="H25" i="30"/>
  <c r="I24" i="30"/>
  <c r="H24" i="30"/>
  <c r="I23" i="30"/>
  <c r="H23" i="30"/>
  <c r="I22" i="30"/>
  <c r="H22" i="30"/>
  <c r="I21" i="30"/>
  <c r="H21" i="30"/>
  <c r="E26" i="30"/>
  <c r="E25" i="30"/>
  <c r="E24" i="30"/>
  <c r="E23" i="30"/>
  <c r="E22" i="30"/>
  <c r="E21" i="30"/>
  <c r="O6" i="30"/>
  <c r="H23" i="27"/>
  <c r="H22" i="27"/>
  <c r="H21" i="27"/>
  <c r="H20" i="27"/>
  <c r="N20" i="27"/>
  <c r="N21" i="27" l="1"/>
  <c r="N23" i="27"/>
  <c r="N22" i="27"/>
  <c r="O6" i="34"/>
  <c r="H31" i="34"/>
  <c r="H27" i="34"/>
  <c r="H26" i="34"/>
  <c r="H23" i="34"/>
  <c r="H22" i="34"/>
  <c r="H21" i="34"/>
  <c r="H20" i="34"/>
  <c r="H19" i="34"/>
  <c r="H18" i="34"/>
  <c r="H17" i="34"/>
  <c r="H16" i="34"/>
  <c r="H15" i="34"/>
  <c r="H14" i="34"/>
  <c r="H13" i="34"/>
  <c r="H12" i="34"/>
  <c r="O6" i="27" l="1"/>
  <c r="D2" i="27" l="1"/>
  <c r="AD31" i="35" l="1"/>
  <c r="AD30" i="35"/>
  <c r="AD29" i="35"/>
  <c r="AD28" i="35"/>
  <c r="AD27" i="35"/>
  <c r="AD26" i="35"/>
  <c r="AD25" i="35"/>
  <c r="AD24" i="35"/>
  <c r="AD23" i="35"/>
  <c r="AD22" i="35"/>
  <c r="AD21" i="35"/>
  <c r="AD20" i="35"/>
  <c r="AD19" i="35"/>
  <c r="AD18" i="35"/>
  <c r="AD17" i="35"/>
  <c r="AD16" i="35"/>
  <c r="AD15" i="35"/>
  <c r="AD14" i="35"/>
  <c r="AD13" i="35"/>
  <c r="AD12" i="35"/>
  <c r="AD11" i="35"/>
  <c r="AD10" i="35"/>
  <c r="AD9" i="35"/>
  <c r="AD8" i="35"/>
  <c r="AD7" i="35"/>
  <c r="AA7" i="33" l="1"/>
  <c r="AB7" i="33"/>
  <c r="AC7" i="33"/>
  <c r="AA8" i="33"/>
  <c r="AB8" i="33"/>
  <c r="AC8" i="33"/>
  <c r="AA9" i="33"/>
  <c r="AB9" i="33"/>
  <c r="AC9" i="33"/>
  <c r="AA10" i="33"/>
  <c r="AB10" i="33"/>
  <c r="AC10" i="33"/>
  <c r="AA11" i="33"/>
  <c r="AB11" i="33"/>
  <c r="AC11" i="33"/>
  <c r="AA12" i="33"/>
  <c r="AB12" i="33"/>
  <c r="AC12" i="33"/>
  <c r="AA13" i="33"/>
  <c r="AB13" i="33"/>
  <c r="AC13" i="33"/>
  <c r="AA14" i="33"/>
  <c r="AB14" i="33"/>
  <c r="AC14" i="33"/>
  <c r="AA15" i="33"/>
  <c r="AB15" i="33"/>
  <c r="AC15" i="33"/>
  <c r="AA16" i="33"/>
  <c r="AB16" i="33"/>
  <c r="AC16" i="33"/>
  <c r="AA17" i="33"/>
  <c r="AB17" i="33"/>
  <c r="AC17" i="33"/>
  <c r="AA18" i="33"/>
  <c r="AB18" i="33"/>
  <c r="AC18" i="33"/>
  <c r="AA19" i="33"/>
  <c r="AB19" i="33"/>
  <c r="AC19" i="33"/>
  <c r="AA20" i="33"/>
  <c r="AB20" i="33"/>
  <c r="AC20" i="33"/>
  <c r="AA21" i="33"/>
  <c r="AB21" i="33"/>
  <c r="AC21" i="33"/>
  <c r="AA22" i="33"/>
  <c r="AB22" i="33"/>
  <c r="AC22" i="33"/>
  <c r="AA23" i="33"/>
  <c r="AB23" i="33"/>
  <c r="AC23" i="33"/>
  <c r="AA24" i="33"/>
  <c r="AB24" i="33"/>
  <c r="AC24" i="33"/>
  <c r="AA25" i="33"/>
  <c r="AB25" i="33"/>
  <c r="AC25" i="33"/>
  <c r="AA26" i="33"/>
  <c r="AB26" i="33"/>
  <c r="AC26" i="33"/>
  <c r="AA27" i="33"/>
  <c r="AB27" i="33"/>
  <c r="AC27" i="33"/>
  <c r="AA28" i="33"/>
  <c r="AB28" i="33"/>
  <c r="AC28" i="33"/>
  <c r="AA29" i="33"/>
  <c r="AB29" i="33"/>
  <c r="AC29" i="33"/>
  <c r="AA30" i="33"/>
  <c r="AB30" i="33"/>
  <c r="AC30" i="33"/>
  <c r="AA31" i="33"/>
  <c r="AB31" i="33"/>
  <c r="AC31" i="33"/>
  <c r="F35" i="36" l="1"/>
  <c r="F39" i="35"/>
  <c r="F35" i="35"/>
  <c r="F35" i="33"/>
  <c r="F39" i="33"/>
  <c r="F35" i="27"/>
  <c r="F39" i="27"/>
  <c r="F35" i="30"/>
  <c r="F39" i="30"/>
  <c r="F35" i="32"/>
  <c r="F39" i="32"/>
  <c r="R12" i="20"/>
  <c r="R7" i="20" l="1"/>
  <c r="N3" i="36" l="1"/>
  <c r="R20" i="20"/>
  <c r="Q20" i="20"/>
  <c r="N3" i="35"/>
  <c r="T15" i="33"/>
  <c r="U15" i="33"/>
  <c r="V15" i="33"/>
  <c r="T16" i="33"/>
  <c r="U16" i="33"/>
  <c r="V16" i="33"/>
  <c r="T17" i="33"/>
  <c r="U17" i="33"/>
  <c r="V17" i="33"/>
  <c r="N26" i="35" l="1"/>
  <c r="N25" i="35"/>
  <c r="K26" i="35"/>
  <c r="K25" i="35"/>
  <c r="N26" i="30"/>
  <c r="N24" i="30"/>
  <c r="N22" i="30"/>
  <c r="N25" i="30"/>
  <c r="N23" i="30"/>
  <c r="K25" i="30"/>
  <c r="K26" i="30"/>
  <c r="K21" i="30"/>
  <c r="N21" i="30"/>
  <c r="K23" i="30"/>
  <c r="K22" i="30"/>
  <c r="K24" i="30"/>
  <c r="N22" i="36"/>
  <c r="N24" i="36"/>
  <c r="N19" i="36"/>
  <c r="N17" i="36"/>
  <c r="N15" i="36"/>
  <c r="N13" i="36"/>
  <c r="K17" i="36"/>
  <c r="N25" i="36"/>
  <c r="N18" i="36"/>
  <c r="N14" i="36"/>
  <c r="N12" i="36"/>
  <c r="K12" i="36"/>
  <c r="N20" i="36"/>
  <c r="K13" i="36"/>
  <c r="K26" i="36"/>
  <c r="K19" i="36"/>
  <c r="K15" i="36"/>
  <c r="K24" i="36"/>
  <c r="K21" i="36"/>
  <c r="N26" i="36"/>
  <c r="K18" i="36"/>
  <c r="K20" i="36"/>
  <c r="K23" i="36"/>
  <c r="K16" i="36"/>
  <c r="K22" i="36"/>
  <c r="N21" i="36"/>
  <c r="K14" i="36"/>
  <c r="N16" i="36"/>
  <c r="K25" i="36"/>
  <c r="N23" i="36"/>
  <c r="Z17" i="2"/>
  <c r="P20" i="20" s="1"/>
  <c r="AG17" i="2"/>
  <c r="Y17" i="2"/>
  <c r="O6" i="36" l="1"/>
  <c r="AB31" i="36" l="1"/>
  <c r="AA31" i="36"/>
  <c r="Z31" i="36"/>
  <c r="I31" i="36"/>
  <c r="U31" i="36"/>
  <c r="T31" i="36"/>
  <c r="S31" i="36"/>
  <c r="H31" i="36"/>
  <c r="AB30" i="36"/>
  <c r="AA30" i="36"/>
  <c r="Z30" i="36"/>
  <c r="U30" i="36"/>
  <c r="T30" i="36"/>
  <c r="S30" i="36"/>
  <c r="AB29" i="36"/>
  <c r="AA29" i="36"/>
  <c r="Z29" i="36"/>
  <c r="U29" i="36"/>
  <c r="T29" i="36"/>
  <c r="S29" i="36"/>
  <c r="AB28" i="36"/>
  <c r="AA28" i="36"/>
  <c r="Z28" i="36"/>
  <c r="U28" i="36"/>
  <c r="T28" i="36"/>
  <c r="S28" i="36"/>
  <c r="AB27" i="36"/>
  <c r="AA27" i="36"/>
  <c r="Z27" i="36"/>
  <c r="U27" i="36"/>
  <c r="T27" i="36"/>
  <c r="S27" i="36"/>
  <c r="H27" i="36"/>
  <c r="AB26" i="36"/>
  <c r="AA26" i="36"/>
  <c r="Z26" i="36"/>
  <c r="O26" i="36" s="1"/>
  <c r="U26" i="36"/>
  <c r="T26" i="36"/>
  <c r="S26" i="36"/>
  <c r="AB25" i="36"/>
  <c r="AA25" i="36"/>
  <c r="Z25" i="36"/>
  <c r="O25" i="36" s="1"/>
  <c r="U25" i="36"/>
  <c r="T25" i="36"/>
  <c r="S25" i="36"/>
  <c r="AB24" i="36"/>
  <c r="AA24" i="36"/>
  <c r="Z24" i="36"/>
  <c r="O24" i="36" s="1"/>
  <c r="U24" i="36"/>
  <c r="T24" i="36"/>
  <c r="S24" i="36"/>
  <c r="AB23" i="36"/>
  <c r="AA23" i="36"/>
  <c r="Z23" i="36"/>
  <c r="O23" i="36" s="1"/>
  <c r="U23" i="36"/>
  <c r="T23" i="36"/>
  <c r="S23" i="36"/>
  <c r="AB22" i="36"/>
  <c r="AA22" i="36"/>
  <c r="Z22" i="36"/>
  <c r="O22" i="36" s="1"/>
  <c r="U22" i="36"/>
  <c r="T22" i="36"/>
  <c r="S22" i="36"/>
  <c r="AB21" i="36"/>
  <c r="AA21" i="36"/>
  <c r="Z21" i="36"/>
  <c r="O21" i="36" s="1"/>
  <c r="U21" i="36"/>
  <c r="T21" i="36"/>
  <c r="S21" i="36"/>
  <c r="AB20" i="36"/>
  <c r="AA20" i="36"/>
  <c r="Z20" i="36"/>
  <c r="O20" i="36" s="1"/>
  <c r="U20" i="36"/>
  <c r="T20" i="36"/>
  <c r="S20" i="36"/>
  <c r="AB19" i="36"/>
  <c r="AA19" i="36"/>
  <c r="Z19" i="36"/>
  <c r="O19" i="36" s="1"/>
  <c r="U19" i="36"/>
  <c r="T19" i="36"/>
  <c r="S19" i="36"/>
  <c r="AB18" i="36"/>
  <c r="AA18" i="36"/>
  <c r="Z18" i="36"/>
  <c r="O18" i="36" s="1"/>
  <c r="U18" i="36"/>
  <c r="T18" i="36"/>
  <c r="S18" i="36"/>
  <c r="AB17" i="36"/>
  <c r="AA17" i="36"/>
  <c r="Z17" i="36"/>
  <c r="O17" i="36" s="1"/>
  <c r="U17" i="36"/>
  <c r="T17" i="36"/>
  <c r="S17" i="36"/>
  <c r="AB16" i="36"/>
  <c r="AA16" i="36"/>
  <c r="Z16" i="36"/>
  <c r="O16" i="36" s="1"/>
  <c r="U16" i="36"/>
  <c r="T16" i="36"/>
  <c r="S16" i="36"/>
  <c r="AB15" i="36"/>
  <c r="AA15" i="36"/>
  <c r="Z15" i="36"/>
  <c r="O15" i="36" s="1"/>
  <c r="U15" i="36"/>
  <c r="T15" i="36"/>
  <c r="S15" i="36"/>
  <c r="AB14" i="36"/>
  <c r="AA14" i="36"/>
  <c r="Z14" i="36"/>
  <c r="O14" i="36" s="1"/>
  <c r="U14" i="36"/>
  <c r="T14" i="36"/>
  <c r="S14" i="36"/>
  <c r="AB13" i="36"/>
  <c r="AA13" i="36"/>
  <c r="Z13" i="36"/>
  <c r="O13" i="36" s="1"/>
  <c r="U13" i="36"/>
  <c r="T13" i="36"/>
  <c r="S13" i="36"/>
  <c r="H11" i="36"/>
  <c r="AB12" i="36"/>
  <c r="AA12" i="36"/>
  <c r="Z12" i="36"/>
  <c r="O12" i="36" s="1"/>
  <c r="U12" i="36"/>
  <c r="T12" i="36"/>
  <c r="S12" i="36"/>
  <c r="AB11" i="36"/>
  <c r="AA11" i="36"/>
  <c r="Z11" i="36"/>
  <c r="U11" i="36"/>
  <c r="T11" i="36"/>
  <c r="S11" i="36"/>
  <c r="AB10" i="36"/>
  <c r="AA10" i="36"/>
  <c r="Z10" i="36"/>
  <c r="I10" i="36"/>
  <c r="U10" i="36"/>
  <c r="T10" i="36"/>
  <c r="S10" i="36"/>
  <c r="H10" i="36"/>
  <c r="AB9" i="36"/>
  <c r="AA9" i="36"/>
  <c r="Z9" i="36"/>
  <c r="U9" i="36"/>
  <c r="T9" i="36"/>
  <c r="S9" i="36"/>
  <c r="H9" i="36"/>
  <c r="AB8" i="36"/>
  <c r="AA8" i="36"/>
  <c r="Z8" i="36"/>
  <c r="U8" i="36"/>
  <c r="T8" i="36"/>
  <c r="S8" i="36"/>
  <c r="H7" i="36"/>
  <c r="AB7" i="36"/>
  <c r="AA7" i="36"/>
  <c r="Z7" i="36"/>
  <c r="U7" i="36"/>
  <c r="T7" i="36"/>
  <c r="S7" i="36"/>
  <c r="H8" i="36"/>
  <c r="N31" i="36"/>
  <c r="D2" i="36"/>
  <c r="AB31" i="35"/>
  <c r="AA31" i="35"/>
  <c r="Z31" i="35"/>
  <c r="I31" i="35"/>
  <c r="T31" i="35"/>
  <c r="S31" i="35"/>
  <c r="H31" i="35"/>
  <c r="N31" i="35" s="1"/>
  <c r="AB30" i="35"/>
  <c r="AA30" i="35"/>
  <c r="Z30" i="35"/>
  <c r="T30" i="35"/>
  <c r="S30" i="35"/>
  <c r="AB29" i="35"/>
  <c r="AA29" i="35"/>
  <c r="Z29" i="35"/>
  <c r="T29" i="35"/>
  <c r="S29" i="35"/>
  <c r="AB28" i="35"/>
  <c r="AA28" i="35"/>
  <c r="Z28" i="35"/>
  <c r="T28" i="35"/>
  <c r="S28" i="35"/>
  <c r="AB27" i="35"/>
  <c r="AA27" i="35"/>
  <c r="Z27" i="35"/>
  <c r="T27" i="35"/>
  <c r="S27" i="35"/>
  <c r="H27" i="35"/>
  <c r="AB26" i="35"/>
  <c r="AA26" i="35"/>
  <c r="Z26" i="35"/>
  <c r="T26" i="35"/>
  <c r="E26" i="35" s="1"/>
  <c r="S26" i="35"/>
  <c r="AB25" i="35"/>
  <c r="AA25" i="35"/>
  <c r="Z25" i="35"/>
  <c r="T25" i="35"/>
  <c r="S25" i="35"/>
  <c r="AB24" i="35"/>
  <c r="AA24" i="35"/>
  <c r="Z24" i="35"/>
  <c r="T24" i="35"/>
  <c r="E24" i="35" s="1"/>
  <c r="S24" i="35"/>
  <c r="AB23" i="35"/>
  <c r="AA23" i="35"/>
  <c r="Z23" i="35"/>
  <c r="T23" i="35"/>
  <c r="E23" i="35" s="1"/>
  <c r="S23" i="35"/>
  <c r="AB22" i="35"/>
  <c r="AA22" i="35"/>
  <c r="Z22" i="35"/>
  <c r="T22" i="35"/>
  <c r="E22" i="35" s="1"/>
  <c r="S22" i="35"/>
  <c r="AB21" i="35"/>
  <c r="AA21" i="35"/>
  <c r="Z21" i="35"/>
  <c r="T21" i="35"/>
  <c r="S21" i="35"/>
  <c r="AB20" i="35"/>
  <c r="AA20" i="35"/>
  <c r="Z20" i="35"/>
  <c r="T20" i="35"/>
  <c r="S20" i="35"/>
  <c r="AB19" i="35"/>
  <c r="AA19" i="35"/>
  <c r="Z19" i="35"/>
  <c r="T19" i="35"/>
  <c r="S19" i="35"/>
  <c r="AB18" i="35"/>
  <c r="AA18" i="35"/>
  <c r="Z18" i="35"/>
  <c r="T18" i="35"/>
  <c r="S18" i="35"/>
  <c r="AB17" i="35"/>
  <c r="AA17" i="35"/>
  <c r="Z17" i="35"/>
  <c r="T17" i="35"/>
  <c r="S17" i="35"/>
  <c r="AB16" i="35"/>
  <c r="AA16" i="35"/>
  <c r="Z16" i="35"/>
  <c r="T16" i="35"/>
  <c r="S16" i="35"/>
  <c r="AB15" i="35"/>
  <c r="AA15" i="35"/>
  <c r="Z15" i="35"/>
  <c r="T15" i="35"/>
  <c r="S15" i="35"/>
  <c r="AB14" i="35"/>
  <c r="AA14" i="35"/>
  <c r="Z14" i="35"/>
  <c r="T14" i="35"/>
  <c r="S14" i="35"/>
  <c r="AB13" i="35"/>
  <c r="AA13" i="35"/>
  <c r="Z13" i="35"/>
  <c r="T13" i="35"/>
  <c r="S13" i="35"/>
  <c r="AB12" i="35"/>
  <c r="AA12" i="35"/>
  <c r="Z12" i="35"/>
  <c r="T12" i="35"/>
  <c r="S12" i="35"/>
  <c r="AB11" i="35"/>
  <c r="AA11" i="35"/>
  <c r="Z11" i="35"/>
  <c r="T11" i="35"/>
  <c r="S11" i="35"/>
  <c r="AB10" i="35"/>
  <c r="AA10" i="35"/>
  <c r="Z10" i="35"/>
  <c r="T10" i="35"/>
  <c r="S10" i="35"/>
  <c r="AB9" i="35"/>
  <c r="AA9" i="35"/>
  <c r="Z9" i="35"/>
  <c r="T9" i="35"/>
  <c r="S9" i="35"/>
  <c r="AB8" i="35"/>
  <c r="AA8" i="35"/>
  <c r="Z8" i="35"/>
  <c r="T8" i="35"/>
  <c r="S8" i="35"/>
  <c r="AB7" i="35"/>
  <c r="AA7" i="35"/>
  <c r="Z7" i="35"/>
  <c r="T7" i="35"/>
  <c r="S7" i="35"/>
  <c r="D2" i="35"/>
  <c r="AB31" i="34"/>
  <c r="AA31" i="34"/>
  <c r="Z31" i="34"/>
  <c r="O31" i="34" s="1"/>
  <c r="I31" i="34"/>
  <c r="U31" i="34"/>
  <c r="T31" i="34"/>
  <c r="S31" i="34"/>
  <c r="AB30" i="34"/>
  <c r="AA30" i="34"/>
  <c r="Z30" i="34"/>
  <c r="U30" i="34"/>
  <c r="T30" i="34"/>
  <c r="S30" i="34"/>
  <c r="AB29" i="34"/>
  <c r="AA29" i="34"/>
  <c r="Z29" i="34"/>
  <c r="U29" i="34"/>
  <c r="T29" i="34"/>
  <c r="S29" i="34"/>
  <c r="AB28" i="34"/>
  <c r="AA28" i="34"/>
  <c r="Z28" i="34"/>
  <c r="U28" i="34"/>
  <c r="T28" i="34"/>
  <c r="S28" i="34"/>
  <c r="AB27" i="34"/>
  <c r="AA27" i="34"/>
  <c r="Z27" i="34"/>
  <c r="U27" i="34"/>
  <c r="T27" i="34"/>
  <c r="S27" i="34"/>
  <c r="AB26" i="34"/>
  <c r="AA26" i="34"/>
  <c r="Z26" i="34"/>
  <c r="O26" i="34" s="1"/>
  <c r="I26" i="34"/>
  <c r="U26" i="34"/>
  <c r="T26" i="34"/>
  <c r="S26" i="34"/>
  <c r="AB25" i="34"/>
  <c r="AA25" i="34"/>
  <c r="Z25" i="34"/>
  <c r="U25" i="34"/>
  <c r="T25" i="34"/>
  <c r="S25" i="34"/>
  <c r="AB24" i="34"/>
  <c r="AA24" i="34"/>
  <c r="Z24" i="34"/>
  <c r="U24" i="34"/>
  <c r="T24" i="34"/>
  <c r="S24" i="34"/>
  <c r="AB23" i="34"/>
  <c r="AA23" i="34"/>
  <c r="Z23" i="34"/>
  <c r="I23" i="34"/>
  <c r="U23" i="34"/>
  <c r="T23" i="34"/>
  <c r="S23" i="34"/>
  <c r="AB22" i="34"/>
  <c r="AA22" i="34"/>
  <c r="Z22" i="34"/>
  <c r="I22" i="34"/>
  <c r="U22" i="34"/>
  <c r="T22" i="34"/>
  <c r="S22" i="34"/>
  <c r="AB21" i="34"/>
  <c r="AA21" i="34"/>
  <c r="Z21" i="34"/>
  <c r="I21" i="34"/>
  <c r="U21" i="34"/>
  <c r="T21" i="34"/>
  <c r="S21" i="34"/>
  <c r="AB20" i="34"/>
  <c r="AA20" i="34"/>
  <c r="Z20" i="34"/>
  <c r="I20" i="34"/>
  <c r="U20" i="34"/>
  <c r="T20" i="34"/>
  <c r="S20" i="34"/>
  <c r="AB19" i="34"/>
  <c r="AA19" i="34"/>
  <c r="Z19" i="34"/>
  <c r="I19" i="34"/>
  <c r="U19" i="34"/>
  <c r="T19" i="34"/>
  <c r="S19" i="34"/>
  <c r="AB18" i="34"/>
  <c r="AA18" i="34"/>
  <c r="Z18" i="34"/>
  <c r="I18" i="34"/>
  <c r="U18" i="34"/>
  <c r="T18" i="34"/>
  <c r="S18" i="34"/>
  <c r="AB17" i="34"/>
  <c r="AA17" i="34"/>
  <c r="Z17" i="34"/>
  <c r="I17" i="34"/>
  <c r="U17" i="34"/>
  <c r="T17" i="34"/>
  <c r="S17" i="34"/>
  <c r="AB16" i="34"/>
  <c r="AA16" i="34"/>
  <c r="Z16" i="34"/>
  <c r="I16" i="34"/>
  <c r="U16" i="34"/>
  <c r="T16" i="34"/>
  <c r="S16" i="34"/>
  <c r="AB15" i="34"/>
  <c r="AA15" i="34"/>
  <c r="Z15" i="34"/>
  <c r="I15" i="34"/>
  <c r="U15" i="34"/>
  <c r="T15" i="34"/>
  <c r="S15" i="34"/>
  <c r="AB14" i="34"/>
  <c r="AA14" i="34"/>
  <c r="Z14" i="34"/>
  <c r="I14" i="34"/>
  <c r="U14" i="34"/>
  <c r="T14" i="34"/>
  <c r="S14" i="34"/>
  <c r="AB13" i="34"/>
  <c r="AA13" i="34"/>
  <c r="Z13" i="34"/>
  <c r="I13" i="34"/>
  <c r="U13" i="34"/>
  <c r="T13" i="34"/>
  <c r="S13" i="34"/>
  <c r="AB12" i="34"/>
  <c r="AA12" i="34"/>
  <c r="Z12" i="34"/>
  <c r="I12" i="34"/>
  <c r="U12" i="34"/>
  <c r="T12" i="34"/>
  <c r="S12" i="34"/>
  <c r="AB11" i="34"/>
  <c r="AA11" i="34"/>
  <c r="Z11" i="34"/>
  <c r="I11" i="34"/>
  <c r="U11" i="34"/>
  <c r="T11" i="34"/>
  <c r="S11" i="34"/>
  <c r="AB10" i="34"/>
  <c r="AA10" i="34"/>
  <c r="Z10" i="34"/>
  <c r="I10" i="34"/>
  <c r="U10" i="34"/>
  <c r="T10" i="34"/>
  <c r="S10" i="34"/>
  <c r="AB9" i="34"/>
  <c r="AA9" i="34"/>
  <c r="Z9" i="34"/>
  <c r="I9" i="34"/>
  <c r="U9" i="34"/>
  <c r="T9" i="34"/>
  <c r="S9" i="34"/>
  <c r="AB8" i="34"/>
  <c r="AA8" i="34"/>
  <c r="Z8" i="34"/>
  <c r="I8" i="34"/>
  <c r="U8" i="34"/>
  <c r="T8" i="34"/>
  <c r="S8" i="34"/>
  <c r="AB7" i="34"/>
  <c r="AA7" i="34"/>
  <c r="Z7" i="34"/>
  <c r="I7" i="34"/>
  <c r="U7" i="34"/>
  <c r="T7" i="34"/>
  <c r="S7" i="34"/>
  <c r="N3" i="34"/>
  <c r="D2" i="34"/>
  <c r="O31" i="33"/>
  <c r="I31" i="33"/>
  <c r="V31" i="33"/>
  <c r="U31" i="33"/>
  <c r="T31" i="33"/>
  <c r="H31" i="33"/>
  <c r="V30" i="33"/>
  <c r="U30" i="33"/>
  <c r="T30" i="33"/>
  <c r="V29" i="33"/>
  <c r="U29" i="33"/>
  <c r="T29" i="33"/>
  <c r="V28" i="33"/>
  <c r="U28" i="33"/>
  <c r="T28" i="33"/>
  <c r="V27" i="33"/>
  <c r="U27" i="33"/>
  <c r="T27" i="33"/>
  <c r="H27" i="33"/>
  <c r="I26" i="33"/>
  <c r="V26" i="33"/>
  <c r="U26" i="33"/>
  <c r="T26" i="33"/>
  <c r="H26" i="33"/>
  <c r="V25" i="33"/>
  <c r="U25" i="33"/>
  <c r="T25" i="33"/>
  <c r="V24" i="33"/>
  <c r="U24" i="33"/>
  <c r="T24" i="33"/>
  <c r="V23" i="33"/>
  <c r="U23" i="33"/>
  <c r="T23" i="33"/>
  <c r="V22" i="33"/>
  <c r="U22" i="33"/>
  <c r="E22" i="33" s="1"/>
  <c r="T22" i="33"/>
  <c r="V21" i="33"/>
  <c r="U21" i="33"/>
  <c r="T21" i="33"/>
  <c r="V20" i="33"/>
  <c r="U20" i="33"/>
  <c r="E21" i="33" s="1"/>
  <c r="T20" i="33"/>
  <c r="V19" i="33"/>
  <c r="U19" i="33"/>
  <c r="E17" i="33" s="1"/>
  <c r="T19" i="33"/>
  <c r="V18" i="33"/>
  <c r="U18" i="33"/>
  <c r="E19" i="33" s="1"/>
  <c r="T18" i="33"/>
  <c r="V14" i="33"/>
  <c r="U14" i="33"/>
  <c r="T14" i="33"/>
  <c r="V13" i="33"/>
  <c r="U13" i="33"/>
  <c r="T13" i="33"/>
  <c r="V12" i="33"/>
  <c r="U12" i="33"/>
  <c r="T12" i="33"/>
  <c r="V11" i="33"/>
  <c r="U11" i="33"/>
  <c r="T11" i="33"/>
  <c r="V10" i="33"/>
  <c r="U10" i="33"/>
  <c r="T10" i="33"/>
  <c r="V9" i="33"/>
  <c r="U9" i="33"/>
  <c r="T9" i="33"/>
  <c r="V8" i="33"/>
  <c r="U8" i="33"/>
  <c r="T8" i="33"/>
  <c r="V7" i="33"/>
  <c r="U7" i="33"/>
  <c r="T7" i="33"/>
  <c r="N3" i="33"/>
  <c r="D2" i="33"/>
  <c r="AC31" i="32"/>
  <c r="AB31" i="32"/>
  <c r="AA31" i="32"/>
  <c r="V31" i="32"/>
  <c r="U31" i="32"/>
  <c r="T31" i="32"/>
  <c r="H31" i="32"/>
  <c r="AC30" i="32"/>
  <c r="AB30" i="32"/>
  <c r="AA30" i="32"/>
  <c r="V30" i="32"/>
  <c r="U30" i="32"/>
  <c r="T30" i="32"/>
  <c r="AC29" i="32"/>
  <c r="AB29" i="32"/>
  <c r="AA29" i="32"/>
  <c r="V29" i="32"/>
  <c r="U29" i="32"/>
  <c r="T29" i="32"/>
  <c r="AC28" i="32"/>
  <c r="AB28" i="32"/>
  <c r="AA28" i="32"/>
  <c r="V28" i="32"/>
  <c r="U28" i="32"/>
  <c r="T28" i="32"/>
  <c r="AC27" i="32"/>
  <c r="AB27" i="32"/>
  <c r="AA27" i="32"/>
  <c r="V27" i="32"/>
  <c r="U27" i="32"/>
  <c r="T27" i="32"/>
  <c r="H27" i="32"/>
  <c r="AC26" i="32"/>
  <c r="AB26" i="32"/>
  <c r="AA26" i="32"/>
  <c r="V26" i="32"/>
  <c r="U26" i="32"/>
  <c r="T26" i="32"/>
  <c r="AC25" i="32"/>
  <c r="AB25" i="32"/>
  <c r="AA25" i="32"/>
  <c r="V25" i="32"/>
  <c r="U25" i="32"/>
  <c r="T25" i="32"/>
  <c r="AC24" i="32"/>
  <c r="AB24" i="32"/>
  <c r="AA24" i="32"/>
  <c r="V24" i="32"/>
  <c r="U24" i="32"/>
  <c r="T24" i="32"/>
  <c r="AC23" i="32"/>
  <c r="AB23" i="32"/>
  <c r="AA23" i="32"/>
  <c r="V23" i="32"/>
  <c r="U23" i="32"/>
  <c r="T23" i="32"/>
  <c r="AC22" i="32"/>
  <c r="AB22" i="32"/>
  <c r="AA22" i="32"/>
  <c r="V22" i="32"/>
  <c r="U22" i="32"/>
  <c r="T22" i="32"/>
  <c r="AC21" i="32"/>
  <c r="AB21" i="32"/>
  <c r="AA21" i="32"/>
  <c r="V21" i="32"/>
  <c r="U21" i="32"/>
  <c r="T21" i="32"/>
  <c r="E21" i="32" s="1"/>
  <c r="AC20" i="32"/>
  <c r="AB20" i="32"/>
  <c r="AA20" i="32"/>
  <c r="V20" i="32"/>
  <c r="U20" i="32"/>
  <c r="T20" i="32"/>
  <c r="E20" i="32" s="1"/>
  <c r="AC19" i="32"/>
  <c r="AB19" i="32"/>
  <c r="AA19" i="32"/>
  <c r="V19" i="32"/>
  <c r="U19" i="32"/>
  <c r="T19" i="32"/>
  <c r="E19" i="32" s="1"/>
  <c r="AC18" i="32"/>
  <c r="AB18" i="32"/>
  <c r="AA18" i="32"/>
  <c r="V18" i="32"/>
  <c r="U18" i="32"/>
  <c r="T18" i="32"/>
  <c r="E18" i="32" s="1"/>
  <c r="AC17" i="32"/>
  <c r="AB17" i="32"/>
  <c r="AA17" i="32"/>
  <c r="V17" i="32"/>
  <c r="U17" i="32"/>
  <c r="T17" i="32"/>
  <c r="AC16" i="32"/>
  <c r="AB16" i="32"/>
  <c r="AA16" i="32"/>
  <c r="V16" i="32"/>
  <c r="U16" i="32"/>
  <c r="T16" i="32"/>
  <c r="AC15" i="32"/>
  <c r="AB15" i="32"/>
  <c r="AA15" i="32"/>
  <c r="V15" i="32"/>
  <c r="U15" i="32"/>
  <c r="T15" i="32"/>
  <c r="AC14" i="32"/>
  <c r="AB14" i="32"/>
  <c r="AA14" i="32"/>
  <c r="V14" i="32"/>
  <c r="U14" i="32"/>
  <c r="T14" i="32"/>
  <c r="E14" i="32" s="1"/>
  <c r="AC13" i="32"/>
  <c r="AB13" i="32"/>
  <c r="AA13" i="32"/>
  <c r="V13" i="32"/>
  <c r="U13" i="32"/>
  <c r="T13" i="32"/>
  <c r="AC12" i="32"/>
  <c r="AB12" i="32"/>
  <c r="AA12" i="32"/>
  <c r="V12" i="32"/>
  <c r="U12" i="32"/>
  <c r="T12" i="32"/>
  <c r="E15" i="32" s="1"/>
  <c r="AC11" i="32"/>
  <c r="AB11" i="32"/>
  <c r="AA11" i="32"/>
  <c r="V11" i="32"/>
  <c r="U11" i="32"/>
  <c r="T11" i="32"/>
  <c r="AC10" i="32"/>
  <c r="AB10" i="32"/>
  <c r="AA10" i="32"/>
  <c r="V10" i="32"/>
  <c r="U10" i="32"/>
  <c r="T10" i="32"/>
  <c r="AC9" i="32"/>
  <c r="AB9" i="32"/>
  <c r="AA9" i="32"/>
  <c r="V9" i="32"/>
  <c r="U9" i="32"/>
  <c r="T9" i="32"/>
  <c r="AC8" i="32"/>
  <c r="AB8" i="32"/>
  <c r="AA8" i="32"/>
  <c r="V8" i="32"/>
  <c r="U8" i="32"/>
  <c r="T8" i="32"/>
  <c r="AC7" i="32"/>
  <c r="AB7" i="32"/>
  <c r="AA7" i="32"/>
  <c r="V7" i="32"/>
  <c r="U7" i="32"/>
  <c r="T7" i="32"/>
  <c r="D2" i="32"/>
  <c r="AC31" i="30"/>
  <c r="AB31" i="30"/>
  <c r="AA31" i="30"/>
  <c r="V31" i="30"/>
  <c r="U31" i="30"/>
  <c r="T31" i="30"/>
  <c r="H31" i="30"/>
  <c r="AC30" i="30"/>
  <c r="AB30" i="30"/>
  <c r="AA30" i="30"/>
  <c r="V30" i="30"/>
  <c r="U30" i="30"/>
  <c r="T30" i="30"/>
  <c r="AC29" i="30"/>
  <c r="AB29" i="30"/>
  <c r="AA29" i="30"/>
  <c r="V29" i="30"/>
  <c r="U29" i="30"/>
  <c r="T29" i="30"/>
  <c r="AC28" i="30"/>
  <c r="AB28" i="30"/>
  <c r="AA28" i="30"/>
  <c r="V28" i="30"/>
  <c r="U28" i="30"/>
  <c r="T28" i="30"/>
  <c r="AC27" i="30"/>
  <c r="AB27" i="30"/>
  <c r="AA27" i="30"/>
  <c r="V27" i="30"/>
  <c r="U27" i="30"/>
  <c r="T27" i="30"/>
  <c r="H27" i="30"/>
  <c r="AC26" i="30"/>
  <c r="AB26" i="30"/>
  <c r="AA26" i="30"/>
  <c r="V26" i="30"/>
  <c r="U26" i="30"/>
  <c r="T26" i="30"/>
  <c r="AC25" i="30"/>
  <c r="AB25" i="30"/>
  <c r="AA25" i="30"/>
  <c r="V25" i="30"/>
  <c r="U25" i="30"/>
  <c r="T25" i="30"/>
  <c r="AC24" i="30"/>
  <c r="AB24" i="30"/>
  <c r="AA24" i="30"/>
  <c r="V24" i="30"/>
  <c r="U24" i="30"/>
  <c r="T24" i="30"/>
  <c r="AC23" i="30"/>
  <c r="AB23" i="30"/>
  <c r="AA23" i="30"/>
  <c r="V23" i="30"/>
  <c r="U23" i="30"/>
  <c r="T23" i="30"/>
  <c r="AC22" i="30"/>
  <c r="AB22" i="30"/>
  <c r="AA22" i="30"/>
  <c r="V22" i="30"/>
  <c r="U22" i="30"/>
  <c r="T22" i="30"/>
  <c r="AC21" i="30"/>
  <c r="AB21" i="30"/>
  <c r="AA21" i="30"/>
  <c r="V21" i="30"/>
  <c r="U21" i="30"/>
  <c r="T21" i="30"/>
  <c r="AC20" i="30"/>
  <c r="AB20" i="30"/>
  <c r="AA20" i="30"/>
  <c r="V20" i="30"/>
  <c r="E20" i="30" s="1"/>
  <c r="U20" i="30"/>
  <c r="T20" i="30"/>
  <c r="AC19" i="30"/>
  <c r="AB19" i="30"/>
  <c r="AA19" i="30"/>
  <c r="V19" i="30"/>
  <c r="E19" i="30" s="1"/>
  <c r="U19" i="30"/>
  <c r="T19" i="30"/>
  <c r="AC18" i="30"/>
  <c r="AB18" i="30"/>
  <c r="AA18" i="30"/>
  <c r="V18" i="30"/>
  <c r="E18" i="30" s="1"/>
  <c r="U18" i="30"/>
  <c r="T18" i="30"/>
  <c r="AC17" i="30"/>
  <c r="AB17" i="30"/>
  <c r="AA17" i="30"/>
  <c r="V17" i="30"/>
  <c r="E17" i="30" s="1"/>
  <c r="U17" i="30"/>
  <c r="T17" i="30"/>
  <c r="AC16" i="30"/>
  <c r="AB16" i="30"/>
  <c r="AA16" i="30"/>
  <c r="V16" i="30"/>
  <c r="U16" i="30"/>
  <c r="T16" i="30"/>
  <c r="AC15" i="30"/>
  <c r="AB15" i="30"/>
  <c r="AA15" i="30"/>
  <c r="V15" i="30"/>
  <c r="U15" i="30"/>
  <c r="T15" i="30"/>
  <c r="AC14" i="30"/>
  <c r="AB14" i="30"/>
  <c r="AA14" i="30"/>
  <c r="V14" i="30"/>
  <c r="U14" i="30"/>
  <c r="T14" i="30"/>
  <c r="AC13" i="30"/>
  <c r="AB13" i="30"/>
  <c r="AA13" i="30"/>
  <c r="V13" i="30"/>
  <c r="U13" i="30"/>
  <c r="T13" i="30"/>
  <c r="AC12" i="30"/>
  <c r="AB12" i="30"/>
  <c r="AA12" i="30"/>
  <c r="V12" i="30"/>
  <c r="U12" i="30"/>
  <c r="T12" i="30"/>
  <c r="AC11" i="30"/>
  <c r="AB11" i="30"/>
  <c r="AA11" i="30"/>
  <c r="V11" i="30"/>
  <c r="U11" i="30"/>
  <c r="T11" i="30"/>
  <c r="AC10" i="30"/>
  <c r="AB10" i="30"/>
  <c r="AA10" i="30"/>
  <c r="V10" i="30"/>
  <c r="U10" i="30"/>
  <c r="T10" i="30"/>
  <c r="AC9" i="30"/>
  <c r="AB9" i="30"/>
  <c r="AA9" i="30"/>
  <c r="V9" i="30"/>
  <c r="U9" i="30"/>
  <c r="T9" i="30"/>
  <c r="AC8" i="30"/>
  <c r="AB8" i="30"/>
  <c r="AA8" i="30"/>
  <c r="V8" i="30"/>
  <c r="U8" i="30"/>
  <c r="T8" i="30"/>
  <c r="AC7" i="30"/>
  <c r="AB7" i="30"/>
  <c r="AA7" i="30"/>
  <c r="V7" i="30"/>
  <c r="U7" i="30"/>
  <c r="T7" i="30"/>
  <c r="D2" i="30"/>
  <c r="E20" i="33" l="1"/>
  <c r="E13" i="32"/>
  <c r="E16" i="32"/>
  <c r="E12" i="32"/>
  <c r="F37" i="19"/>
  <c r="E17" i="32"/>
  <c r="E12" i="33"/>
  <c r="K11" i="34"/>
  <c r="K9" i="34"/>
  <c r="K19" i="34"/>
  <c r="N24" i="32"/>
  <c r="N22" i="32"/>
  <c r="N25" i="32"/>
  <c r="N23" i="32"/>
  <c r="K25" i="32"/>
  <c r="N26" i="32"/>
  <c r="K23" i="32"/>
  <c r="K26" i="32"/>
  <c r="K22" i="32"/>
  <c r="K24" i="32"/>
  <c r="K12" i="34"/>
  <c r="K20" i="34"/>
  <c r="K13" i="34"/>
  <c r="K21" i="34"/>
  <c r="K14" i="34"/>
  <c r="K22" i="34"/>
  <c r="K7" i="34"/>
  <c r="K15" i="34"/>
  <c r="K23" i="34"/>
  <c r="K31" i="34"/>
  <c r="K8" i="34"/>
  <c r="K16" i="34"/>
  <c r="K17" i="34"/>
  <c r="N26" i="34"/>
  <c r="N18" i="34"/>
  <c r="N11" i="34"/>
  <c r="N8" i="34"/>
  <c r="N20" i="34"/>
  <c r="N10" i="34"/>
  <c r="K27" i="34"/>
  <c r="N19" i="34"/>
  <c r="N16" i="34"/>
  <c r="N12" i="34"/>
  <c r="N22" i="34"/>
  <c r="N9" i="34"/>
  <c r="N27" i="34"/>
  <c r="N13" i="34"/>
  <c r="N31" i="34"/>
  <c r="N17" i="34"/>
  <c r="N21" i="34"/>
  <c r="N14" i="34"/>
  <c r="N23" i="34"/>
  <c r="N7" i="34"/>
  <c r="N15" i="34"/>
  <c r="K10" i="34"/>
  <c r="K18" i="34"/>
  <c r="K26" i="34"/>
  <c r="I31" i="32"/>
  <c r="K31" i="32" s="1"/>
  <c r="E11" i="33"/>
  <c r="E15" i="33"/>
  <c r="E13" i="33"/>
  <c r="E9" i="32"/>
  <c r="E7" i="32"/>
  <c r="E8" i="32"/>
  <c r="E11" i="32"/>
  <c r="E10" i="32"/>
  <c r="E20" i="35"/>
  <c r="E11" i="35"/>
  <c r="E10" i="35"/>
  <c r="E14" i="35"/>
  <c r="E17" i="35"/>
  <c r="E9" i="35"/>
  <c r="E15" i="35"/>
  <c r="E9" i="33"/>
  <c r="E18" i="33"/>
  <c r="E14" i="33"/>
  <c r="O31" i="35"/>
  <c r="O31" i="30"/>
  <c r="E8" i="36"/>
  <c r="I8" i="36"/>
  <c r="K8" i="36" s="1"/>
  <c r="E10" i="36"/>
  <c r="I7" i="36"/>
  <c r="K7" i="36" s="1"/>
  <c r="E9" i="36"/>
  <c r="E11" i="36"/>
  <c r="I9" i="36"/>
  <c r="K9" i="36" s="1"/>
  <c r="I11" i="36"/>
  <c r="K11" i="36" s="1"/>
  <c r="E7" i="36"/>
  <c r="E7" i="35"/>
  <c r="E12" i="35"/>
  <c r="E21" i="35"/>
  <c r="E16" i="35"/>
  <c r="E19" i="35"/>
  <c r="E13" i="35"/>
  <c r="E18" i="35"/>
  <c r="E8" i="35"/>
  <c r="E8" i="33"/>
  <c r="E16" i="33"/>
  <c r="E7" i="33"/>
  <c r="E10" i="33"/>
  <c r="E12" i="30"/>
  <c r="E14" i="30"/>
  <c r="I31" i="30"/>
  <c r="K31" i="30" s="1"/>
  <c r="E9" i="30"/>
  <c r="E10" i="30"/>
  <c r="E8" i="30"/>
  <c r="E13" i="30"/>
  <c r="K10" i="36"/>
  <c r="K27" i="36"/>
  <c r="K31" i="35"/>
  <c r="O31" i="32"/>
  <c r="N31" i="33"/>
  <c r="N8" i="36"/>
  <c r="K31" i="36"/>
  <c r="K27" i="35"/>
  <c r="N7" i="36"/>
  <c r="N11" i="36"/>
  <c r="O31" i="36"/>
  <c r="O7" i="36"/>
  <c r="O11" i="36"/>
  <c r="N27" i="36"/>
  <c r="N10" i="36"/>
  <c r="N9" i="36"/>
  <c r="O8" i="36"/>
  <c r="O10" i="36"/>
  <c r="O9" i="36"/>
  <c r="N27" i="35"/>
  <c r="K31" i="33"/>
  <c r="K26" i="33"/>
  <c r="N26" i="33"/>
  <c r="N27" i="33"/>
  <c r="O26" i="33"/>
  <c r="K27" i="33"/>
  <c r="K27" i="32"/>
  <c r="N31" i="32"/>
  <c r="N27" i="32"/>
  <c r="E15" i="30"/>
  <c r="E7" i="30"/>
  <c r="E16" i="30"/>
  <c r="E11" i="30"/>
  <c r="K27" i="30"/>
  <c r="N27" i="30"/>
  <c r="N31" i="30"/>
  <c r="L11" i="34" l="1"/>
  <c r="M14" i="34"/>
  <c r="L27" i="34"/>
  <c r="M26" i="34"/>
  <c r="M17" i="34"/>
  <c r="M19" i="34"/>
  <c r="L9" i="34"/>
  <c r="L19" i="34"/>
  <c r="L26" i="34"/>
  <c r="L23" i="34"/>
  <c r="L22" i="34"/>
  <c r="L18" i="34"/>
  <c r="L16" i="34"/>
  <c r="M27" i="34"/>
  <c r="L21" i="34"/>
  <c r="L10" i="34"/>
  <c r="M16" i="34"/>
  <c r="L7" i="34"/>
  <c r="L14" i="34"/>
  <c r="M10" i="34"/>
  <c r="L8" i="34"/>
  <c r="M7" i="34"/>
  <c r="M18" i="34"/>
  <c r="L17" i="34"/>
  <c r="M8" i="34"/>
  <c r="M20" i="34"/>
  <c r="L13" i="34"/>
  <c r="M22" i="34"/>
  <c r="M12" i="34"/>
  <c r="L31" i="34"/>
  <c r="M9" i="34"/>
  <c r="L12" i="34"/>
  <c r="M31" i="34"/>
  <c r="M13" i="34"/>
  <c r="M11" i="34"/>
  <c r="M15" i="34"/>
  <c r="L25" i="35"/>
  <c r="M25" i="35"/>
  <c r="M26" i="35"/>
  <c r="L26" i="35"/>
  <c r="M24" i="36"/>
  <c r="M22" i="36"/>
  <c r="L12" i="36"/>
  <c r="M15" i="36"/>
  <c r="M25" i="36"/>
  <c r="L15" i="36"/>
  <c r="L19" i="36"/>
  <c r="M12" i="36"/>
  <c r="M17" i="36"/>
  <c r="L25" i="36"/>
  <c r="M13" i="36"/>
  <c r="M14" i="36"/>
  <c r="L22" i="36"/>
  <c r="L17" i="36"/>
  <c r="M23" i="36"/>
  <c r="L13" i="36"/>
  <c r="L24" i="36"/>
  <c r="L23" i="36"/>
  <c r="M19" i="36"/>
  <c r="L14" i="36"/>
  <c r="M21" i="36"/>
  <c r="L18" i="36"/>
  <c r="L21" i="36"/>
  <c r="M18" i="36"/>
  <c r="M16" i="36"/>
  <c r="L16" i="36"/>
  <c r="M26" i="36"/>
  <c r="L26" i="36"/>
  <c r="L20" i="36"/>
  <c r="M20" i="36"/>
  <c r="M22" i="32"/>
  <c r="M24" i="32"/>
  <c r="L22" i="32"/>
  <c r="M25" i="32"/>
  <c r="L25" i="32"/>
  <c r="L24" i="32"/>
  <c r="M23" i="32"/>
  <c r="L23" i="32"/>
  <c r="M26" i="32"/>
  <c r="L26" i="32"/>
  <c r="M23" i="34"/>
  <c r="L20" i="34"/>
  <c r="M21" i="34"/>
  <c r="M24" i="30"/>
  <c r="M22" i="30"/>
  <c r="L22" i="30"/>
  <c r="L24" i="30"/>
  <c r="M26" i="30"/>
  <c r="L23" i="30"/>
  <c r="L26" i="30"/>
  <c r="L25" i="30"/>
  <c r="M23" i="30"/>
  <c r="M25" i="30"/>
  <c r="M21" i="30"/>
  <c r="L21" i="30"/>
  <c r="L15" i="34"/>
  <c r="L9" i="36"/>
  <c r="L31" i="35"/>
  <c r="M27" i="36"/>
  <c r="M9" i="36"/>
  <c r="L10" i="36"/>
  <c r="M7" i="36"/>
  <c r="L27" i="36"/>
  <c r="L8" i="36"/>
  <c r="M10" i="36"/>
  <c r="M31" i="36"/>
  <c r="L11" i="36"/>
  <c r="M8" i="36"/>
  <c r="L31" i="36"/>
  <c r="M11" i="36"/>
  <c r="L31" i="33"/>
  <c r="M31" i="35"/>
  <c r="L7" i="36"/>
  <c r="M26" i="33"/>
  <c r="M27" i="35"/>
  <c r="M31" i="30"/>
  <c r="L27" i="30"/>
  <c r="L27" i="35"/>
  <c r="M31" i="33"/>
  <c r="L26" i="33"/>
  <c r="L31" i="32"/>
  <c r="L27" i="33"/>
  <c r="M27" i="33"/>
  <c r="L27" i="32"/>
  <c r="M27" i="32"/>
  <c r="M31" i="32"/>
  <c r="M27" i="30"/>
  <c r="L31" i="30"/>
  <c r="G37" i="19" l="1"/>
  <c r="D28" i="19"/>
  <c r="L5" i="20" l="1"/>
  <c r="AG5" i="2" l="1"/>
  <c r="AG6" i="2"/>
  <c r="AG7" i="2"/>
  <c r="AG8" i="2"/>
  <c r="AG9" i="2"/>
  <c r="AG11" i="2"/>
  <c r="AG12" i="2"/>
  <c r="AG13" i="2"/>
  <c r="AG14" i="2"/>
  <c r="AG15" i="2"/>
  <c r="AG16" i="2"/>
  <c r="D29" i="19" l="1"/>
  <c r="S15" i="20" l="1"/>
  <c r="Q7" i="20"/>
  <c r="Q8" i="20"/>
  <c r="R8" i="20"/>
  <c r="Q9" i="20"/>
  <c r="R9" i="20"/>
  <c r="Q10" i="20"/>
  <c r="R10" i="20"/>
  <c r="Q11" i="20"/>
  <c r="R11" i="20"/>
  <c r="Q12" i="20"/>
  <c r="Q13" i="20"/>
  <c r="R13" i="20"/>
  <c r="Q14" i="20"/>
  <c r="R14" i="20"/>
  <c r="Q15" i="20"/>
  <c r="R15" i="20"/>
  <c r="Q16" i="20"/>
  <c r="R16" i="20"/>
  <c r="Q17" i="20"/>
  <c r="R17" i="20"/>
  <c r="Q18" i="20"/>
  <c r="R18" i="20"/>
  <c r="R6" i="20"/>
  <c r="Q6" i="20"/>
  <c r="AG4" i="2"/>
  <c r="Y2" i="2"/>
  <c r="R34" i="19"/>
  <c r="I23" i="27"/>
  <c r="K23" i="27" s="1"/>
  <c r="V31" i="27"/>
  <c r="U31" i="27"/>
  <c r="T31" i="27"/>
  <c r="V30" i="27"/>
  <c r="U30" i="27"/>
  <c r="T30" i="27"/>
  <c r="V29" i="27"/>
  <c r="U29" i="27"/>
  <c r="T29" i="27"/>
  <c r="V28" i="27"/>
  <c r="U28" i="27"/>
  <c r="T28" i="27"/>
  <c r="V27" i="27"/>
  <c r="U27" i="27"/>
  <c r="T27" i="27"/>
  <c r="V26" i="27"/>
  <c r="U26" i="27"/>
  <c r="T26" i="27"/>
  <c r="V25" i="27"/>
  <c r="U25" i="27"/>
  <c r="T25" i="27"/>
  <c r="V24" i="27"/>
  <c r="U24" i="27"/>
  <c r="T24" i="27"/>
  <c r="V23" i="27"/>
  <c r="U23" i="27"/>
  <c r="T23" i="27"/>
  <c r="V22" i="27"/>
  <c r="U22" i="27"/>
  <c r="T22" i="27"/>
  <c r="V21" i="27"/>
  <c r="U21" i="27"/>
  <c r="T21" i="27"/>
  <c r="V20" i="27"/>
  <c r="U20" i="27"/>
  <c r="T20" i="27"/>
  <c r="V19" i="27"/>
  <c r="U19" i="27"/>
  <c r="T19" i="27"/>
  <c r="V18" i="27"/>
  <c r="U18" i="27"/>
  <c r="T18" i="27"/>
  <c r="V17" i="27"/>
  <c r="U17" i="27"/>
  <c r="T17" i="27"/>
  <c r="V16" i="27"/>
  <c r="U16" i="27"/>
  <c r="T16" i="27"/>
  <c r="V15" i="27"/>
  <c r="U15" i="27"/>
  <c r="T15" i="27"/>
  <c r="V14" i="27"/>
  <c r="U14" i="27"/>
  <c r="T14" i="27"/>
  <c r="V13" i="27"/>
  <c r="U13" i="27"/>
  <c r="E11" i="27" s="1"/>
  <c r="T13" i="27"/>
  <c r="V12" i="27"/>
  <c r="U12" i="27"/>
  <c r="T12" i="27"/>
  <c r="V11" i="27"/>
  <c r="U11" i="27"/>
  <c r="T11" i="27"/>
  <c r="V10" i="27"/>
  <c r="U10" i="27"/>
  <c r="T10" i="27"/>
  <c r="V9" i="27"/>
  <c r="U9" i="27"/>
  <c r="T9" i="27"/>
  <c r="V8" i="27"/>
  <c r="U8" i="27"/>
  <c r="T8" i="27"/>
  <c r="V7" i="27"/>
  <c r="U7" i="27"/>
  <c r="T7" i="27"/>
  <c r="Y36" i="19"/>
  <c r="D36" i="19"/>
  <c r="D35" i="19"/>
  <c r="D34" i="19"/>
  <c r="B5" i="20"/>
  <c r="I37" i="19"/>
  <c r="AC31" i="27"/>
  <c r="AB31" i="27"/>
  <c r="AA31" i="27"/>
  <c r="H31" i="27"/>
  <c r="AC30" i="27"/>
  <c r="AB30" i="27"/>
  <c r="AA30" i="27"/>
  <c r="AC29" i="27"/>
  <c r="AB29" i="27"/>
  <c r="AA29" i="27"/>
  <c r="AC28" i="27"/>
  <c r="AB28" i="27"/>
  <c r="AA28" i="27"/>
  <c r="AC27" i="27"/>
  <c r="AB27" i="27"/>
  <c r="AA27" i="27"/>
  <c r="H27" i="27"/>
  <c r="AC26" i="27"/>
  <c r="AB26" i="27"/>
  <c r="AA26" i="27"/>
  <c r="AC25" i="27"/>
  <c r="AB25" i="27"/>
  <c r="AA25" i="27"/>
  <c r="AC24" i="27"/>
  <c r="AB24" i="27"/>
  <c r="AA24" i="27"/>
  <c r="AC23" i="27"/>
  <c r="AB23" i="27"/>
  <c r="AA23" i="27"/>
  <c r="AC22" i="27"/>
  <c r="AB22" i="27"/>
  <c r="AA22" i="27"/>
  <c r="AC21" i="27"/>
  <c r="AB21" i="27"/>
  <c r="AA21" i="27"/>
  <c r="AC20" i="27"/>
  <c r="AB20" i="27"/>
  <c r="AA20" i="27"/>
  <c r="AC19" i="27"/>
  <c r="AB19" i="27"/>
  <c r="AA19" i="27"/>
  <c r="AC18" i="27"/>
  <c r="AB18" i="27"/>
  <c r="AA18" i="27"/>
  <c r="AC17" i="27"/>
  <c r="AB17" i="27"/>
  <c r="AA17" i="27"/>
  <c r="AC16" i="27"/>
  <c r="AB16" i="27"/>
  <c r="AA16" i="27"/>
  <c r="AC15" i="27"/>
  <c r="AB15" i="27"/>
  <c r="AA15" i="27"/>
  <c r="AC14" i="27"/>
  <c r="AB14" i="27"/>
  <c r="AA14" i="27"/>
  <c r="AC13" i="27"/>
  <c r="AB13" i="27"/>
  <c r="AA13" i="27"/>
  <c r="AC12" i="27"/>
  <c r="AB12" i="27"/>
  <c r="AA12" i="27"/>
  <c r="AC11" i="27"/>
  <c r="AB11" i="27"/>
  <c r="AA11" i="27"/>
  <c r="AC10" i="27"/>
  <c r="AB10" i="27"/>
  <c r="AA10" i="27"/>
  <c r="AC9" i="27"/>
  <c r="AB9" i="27"/>
  <c r="AA9" i="27"/>
  <c r="AC8" i="27"/>
  <c r="AB8" i="27"/>
  <c r="AA8" i="27"/>
  <c r="AC7" i="27"/>
  <c r="AB7" i="27"/>
  <c r="AA7" i="27"/>
  <c r="AD37" i="19"/>
  <c r="AC37" i="19"/>
  <c r="AB37" i="19"/>
  <c r="AA37" i="19"/>
  <c r="Z37" i="19"/>
  <c r="Z10" i="2"/>
  <c r="P12" i="20" s="1"/>
  <c r="E37" i="19"/>
  <c r="Z5" i="2"/>
  <c r="P7" i="20" s="1"/>
  <c r="Z6" i="2"/>
  <c r="P8" i="20" s="1"/>
  <c r="Z7" i="2"/>
  <c r="P9" i="20" s="1"/>
  <c r="Z8" i="2"/>
  <c r="P10" i="20" s="1"/>
  <c r="Z9" i="2"/>
  <c r="P11" i="20" s="1"/>
  <c r="Z11" i="2"/>
  <c r="P13" i="20" s="1"/>
  <c r="Z12" i="2"/>
  <c r="P14" i="20" s="1"/>
  <c r="Z13" i="2"/>
  <c r="P15" i="20" s="1"/>
  <c r="Z14" i="2"/>
  <c r="P16" i="20" s="1"/>
  <c r="Z15" i="2"/>
  <c r="P17" i="20" s="1"/>
  <c r="Z16" i="2"/>
  <c r="P18" i="20" s="1"/>
  <c r="Z4" i="2"/>
  <c r="P6" i="20" s="1"/>
  <c r="Y5" i="2"/>
  <c r="D4" i="20" s="1"/>
  <c r="Y6" i="2"/>
  <c r="F4" i="20" s="1"/>
  <c r="Y7" i="2"/>
  <c r="H4" i="20" s="1"/>
  <c r="Y8" i="2"/>
  <c r="J4" i="20" s="1"/>
  <c r="Y9" i="2"/>
  <c r="L4" i="20" s="1"/>
  <c r="Y10" i="2"/>
  <c r="B19" i="20" s="1"/>
  <c r="Y11" i="2"/>
  <c r="D19" i="20" s="1"/>
  <c r="Y12" i="2"/>
  <c r="Y13" i="2"/>
  <c r="F19" i="20" s="1"/>
  <c r="Y14" i="2"/>
  <c r="H19" i="20" s="1"/>
  <c r="Y15" i="2"/>
  <c r="J19" i="20" s="1"/>
  <c r="Y16" i="2"/>
  <c r="L19" i="20" s="1"/>
  <c r="Y4" i="2"/>
  <c r="B4" i="20" s="1"/>
  <c r="R40" i="19"/>
  <c r="R39" i="19"/>
  <c r="H37" i="19"/>
  <c r="L20" i="20"/>
  <c r="J20" i="20"/>
  <c r="H20" i="20"/>
  <c r="F20" i="20"/>
  <c r="D20" i="20"/>
  <c r="B20" i="20"/>
  <c r="J5" i="20"/>
  <c r="H5" i="20"/>
  <c r="F5" i="20"/>
  <c r="D5" i="20"/>
  <c r="D32" i="19"/>
  <c r="D33" i="19"/>
  <c r="D30" i="19"/>
  <c r="D31" i="19"/>
  <c r="E15" i="27" l="1"/>
  <c r="E16" i="27"/>
  <c r="E17" i="27"/>
  <c r="E19" i="27"/>
  <c r="I21" i="27"/>
  <c r="K21" i="27" s="1"/>
  <c r="E14" i="27"/>
  <c r="E13" i="27"/>
  <c r="I22" i="27"/>
  <c r="K22" i="27" s="1"/>
  <c r="E23" i="27"/>
  <c r="E18" i="27"/>
  <c r="I20" i="27"/>
  <c r="K20" i="27" s="1"/>
  <c r="E22" i="27"/>
  <c r="E21" i="27"/>
  <c r="E20" i="27"/>
  <c r="E12" i="27"/>
  <c r="E7" i="27"/>
  <c r="E9" i="27"/>
  <c r="E10" i="27"/>
  <c r="E8" i="27"/>
  <c r="O31" i="27"/>
  <c r="I31" i="27"/>
  <c r="K31" i="27" s="1"/>
  <c r="N27" i="27"/>
  <c r="N31" i="27"/>
  <c r="K27" i="27"/>
  <c r="L22" i="27" l="1"/>
  <c r="M22" i="27"/>
  <c r="L20" i="27"/>
  <c r="M20" i="27"/>
  <c r="M21" i="27"/>
  <c r="L21" i="27"/>
  <c r="M23" i="27"/>
  <c r="L23" i="27"/>
  <c r="L31" i="27"/>
  <c r="L27" i="27"/>
  <c r="M31" i="27"/>
  <c r="M27" i="27"/>
</calcChain>
</file>

<file path=xl/sharedStrings.xml><?xml version="1.0" encoding="utf-8"?>
<sst xmlns="http://schemas.openxmlformats.org/spreadsheetml/2006/main" count="1640" uniqueCount="379">
  <si>
    <t>参加数</t>
  </si>
  <si>
    <t xml:space="preserve"> 艇 </t>
  </si>
  <si>
    <t>ＴＡのリスト（参照用）</t>
    <rPh sb="7" eb="10">
      <t>サンショウヨウ</t>
    </rPh>
    <phoneticPr fontId="6"/>
  </si>
  <si>
    <t>順位</t>
  </si>
  <si>
    <t>SAIL</t>
  </si>
  <si>
    <t>艇　　名</t>
  </si>
  <si>
    <t>R</t>
  </si>
  <si>
    <t>着順</t>
  </si>
  <si>
    <t>着時間</t>
  </si>
  <si>
    <t>ET</t>
  </si>
  <si>
    <t>TA</t>
    <phoneticPr fontId="6"/>
  </si>
  <si>
    <t>PN</t>
  </si>
  <si>
    <t>ＣＴ</t>
  </si>
  <si>
    <t>得点</t>
  </si>
  <si>
    <t>NO.</t>
  </si>
  <si>
    <t xml:space="preserve">m </t>
  </si>
  <si>
    <t>H：M：S</t>
  </si>
  <si>
    <t xml:space="preserve">S </t>
  </si>
  <si>
    <t xml:space="preserve">% </t>
  </si>
  <si>
    <t xml:space="preserve">Kt </t>
  </si>
  <si>
    <t>Ⅰ</t>
    <phoneticPr fontId="6"/>
  </si>
  <si>
    <t>Ⅲ</t>
    <phoneticPr fontId="6"/>
  </si>
  <si>
    <t>Ⅱ</t>
    <phoneticPr fontId="6"/>
  </si>
  <si>
    <t>ふるたか</t>
  </si>
  <si>
    <t>さがみ</t>
  </si>
  <si>
    <t>サ－モン4</t>
  </si>
  <si>
    <t>はやとり</t>
  </si>
  <si>
    <t>かまくら</t>
  </si>
  <si>
    <t>波勝</t>
  </si>
  <si>
    <t>衣笠</t>
  </si>
  <si>
    <t>アズサ</t>
  </si>
  <si>
    <t>くろしお</t>
  </si>
  <si>
    <t>アイデアル</t>
  </si>
  <si>
    <t>未央</t>
  </si>
  <si>
    <t>S/NM</t>
    <phoneticPr fontId="5"/>
  </si>
  <si>
    <t>初島</t>
    <rPh sb="0" eb="2">
      <t>ハツシマ</t>
    </rPh>
    <phoneticPr fontId="6"/>
  </si>
  <si>
    <t>Ａ</t>
    <phoneticPr fontId="5"/>
  </si>
  <si>
    <t>Ｅ</t>
    <phoneticPr fontId="5"/>
  </si>
  <si>
    <t>Ｆ</t>
    <phoneticPr fontId="5"/>
  </si>
  <si>
    <t>Ｄ</t>
    <phoneticPr fontId="5"/>
  </si>
  <si>
    <t>コース</t>
    <phoneticPr fontId="5"/>
  </si>
  <si>
    <t>月</t>
    <rPh sb="0" eb="1">
      <t>ツキ</t>
    </rPh>
    <phoneticPr fontId="5"/>
  </si>
  <si>
    <t>スタート</t>
    <phoneticPr fontId="5"/>
  </si>
  <si>
    <t xml:space="preserve"> (暫定) </t>
  </si>
  <si>
    <t>レース番号</t>
    <rPh sb="3" eb="5">
      <t>バンゴウ</t>
    </rPh>
    <phoneticPr fontId="5"/>
  </si>
  <si>
    <t>暫定版</t>
    <rPh sb="0" eb="2">
      <t>ザンテイ</t>
    </rPh>
    <rPh sb="2" eb="3">
      <t>ハン</t>
    </rPh>
    <phoneticPr fontId="5"/>
  </si>
  <si>
    <t>開催年</t>
    <rPh sb="0" eb="2">
      <t>カイサイ</t>
    </rPh>
    <rPh sb="2" eb="3">
      <t>ネン</t>
    </rPh>
    <phoneticPr fontId="5"/>
  </si>
  <si>
    <t>年</t>
    <rPh sb="0" eb="1">
      <t>ネン</t>
    </rPh>
    <phoneticPr fontId="5"/>
  </si>
  <si>
    <t>開催月</t>
    <rPh sb="0" eb="2">
      <t>カイサイ</t>
    </rPh>
    <rPh sb="2" eb="3">
      <t>ツキ</t>
    </rPh>
    <phoneticPr fontId="5"/>
  </si>
  <si>
    <t>レース番号</t>
    <rPh sb="3" eb="5">
      <t>バンゴウ</t>
    </rPh>
    <phoneticPr fontId="5"/>
  </si>
  <si>
    <t>熱海</t>
    <rPh sb="0" eb="2">
      <t>アタミ</t>
    </rPh>
    <phoneticPr fontId="6"/>
  </si>
  <si>
    <t>レース名</t>
    <rPh sb="3" eb="4">
      <t>メイ</t>
    </rPh>
    <phoneticPr fontId="5"/>
  </si>
  <si>
    <t>小網代フリートレース</t>
    <rPh sb="0" eb="1">
      <t>コ</t>
    </rPh>
    <rPh sb="1" eb="3">
      <t>アジロ</t>
    </rPh>
    <phoneticPr fontId="5"/>
  </si>
  <si>
    <t>ＴＡ</t>
    <phoneticPr fontId="5"/>
  </si>
  <si>
    <t>ＴＡ</t>
    <phoneticPr fontId="5"/>
  </si>
  <si>
    <t>Ⅰ</t>
    <phoneticPr fontId="5"/>
  </si>
  <si>
    <t>Ⅱ</t>
    <phoneticPr fontId="5"/>
  </si>
  <si>
    <t>Ⅲ</t>
    <phoneticPr fontId="5"/>
  </si>
  <si>
    <t>記  事</t>
    <phoneticPr fontId="5"/>
  </si>
  <si>
    <t>艇速</t>
    <rPh sb="0" eb="1">
      <t>テイ</t>
    </rPh>
    <rPh sb="1" eb="2">
      <t>ソク</t>
    </rPh>
    <phoneticPr fontId="5"/>
  </si>
  <si>
    <t>時刻</t>
    <rPh sb="0" eb="2">
      <t>ジコク</t>
    </rPh>
    <phoneticPr fontId="5"/>
  </si>
  <si>
    <t>コース・距離</t>
    <rPh sb="4" eb="6">
      <t>キョリ</t>
    </rPh>
    <phoneticPr fontId="5"/>
  </si>
  <si>
    <t>Ｅ</t>
  </si>
  <si>
    <t>距離(NM)</t>
    <rPh sb="0" eb="2">
      <t>キョリ</t>
    </rPh>
    <phoneticPr fontId="5"/>
  </si>
  <si>
    <t>得点（参照用）</t>
    <rPh sb="0" eb="2">
      <t>トクテン</t>
    </rPh>
    <rPh sb="3" eb="6">
      <t>サンショウヨウ</t>
    </rPh>
    <phoneticPr fontId="5"/>
  </si>
  <si>
    <t>得点</t>
    <rPh sb="0" eb="2">
      <t>トクテン</t>
    </rPh>
    <phoneticPr fontId="5"/>
  </si>
  <si>
    <t>MAX=20</t>
    <phoneticPr fontId="5"/>
  </si>
  <si>
    <t>MAX=30</t>
    <phoneticPr fontId="5"/>
  </si>
  <si>
    <t>MAX=40</t>
    <phoneticPr fontId="5"/>
  </si>
  <si>
    <t>MAX=40</t>
    <phoneticPr fontId="5"/>
  </si>
  <si>
    <t>開催日</t>
    <rPh sb="0" eb="3">
      <t>カイサイビ</t>
    </rPh>
    <phoneticPr fontId="5"/>
  </si>
  <si>
    <t>距離</t>
    <rPh sb="0" eb="2">
      <t>キョリ</t>
    </rPh>
    <phoneticPr fontId="5"/>
  </si>
  <si>
    <t xml:space="preserve"> (確定) </t>
    <rPh sb="2" eb="4">
      <t>カクテイ</t>
    </rPh>
    <phoneticPr fontId="5"/>
  </si>
  <si>
    <t>コース</t>
  </si>
  <si>
    <t/>
  </si>
  <si>
    <t>SAIL　No.</t>
  </si>
  <si>
    <t>艇　名</t>
  </si>
  <si>
    <t>得点計</t>
  </si>
  <si>
    <t>皆勤賞</t>
    <rPh sb="0" eb="3">
      <t>カイキンショウ</t>
    </rPh>
    <phoneticPr fontId="6"/>
  </si>
  <si>
    <t>参加賞</t>
    <rPh sb="0" eb="3">
      <t>サンカショウ</t>
    </rPh>
    <phoneticPr fontId="6"/>
  </si>
  <si>
    <t>1</t>
  </si>
  <si>
    <t>2</t>
  </si>
  <si>
    <t>3</t>
  </si>
  <si>
    <t>4</t>
  </si>
  <si>
    <t>5</t>
  </si>
  <si>
    <t>6</t>
  </si>
  <si>
    <t>7</t>
  </si>
  <si>
    <t>8</t>
  </si>
  <si>
    <t>9</t>
  </si>
  <si>
    <t>10</t>
  </si>
  <si>
    <t>11</t>
  </si>
  <si>
    <t>12</t>
  </si>
  <si>
    <t>13</t>
  </si>
  <si>
    <t>14</t>
  </si>
  <si>
    <t>15</t>
  </si>
  <si>
    <t>16</t>
  </si>
  <si>
    <t>17</t>
  </si>
  <si>
    <t>18</t>
  </si>
  <si>
    <t>19</t>
  </si>
  <si>
    <t>20</t>
  </si>
  <si>
    <t>21</t>
  </si>
  <si>
    <t>22</t>
  </si>
  <si>
    <t>23</t>
  </si>
  <si>
    <t>24</t>
  </si>
  <si>
    <t>25</t>
  </si>
  <si>
    <t>レース参加艇数</t>
    <rPh sb="3" eb="5">
      <t>サンカ</t>
    </rPh>
    <rPh sb="5" eb="6">
      <t>テイ</t>
    </rPh>
    <rPh sb="6" eb="7">
      <t>スウ</t>
    </rPh>
    <phoneticPr fontId="6"/>
  </si>
  <si>
    <t>　優 勝 盾　</t>
  </si>
  <si>
    <t>1</t>
    <phoneticPr fontId="6"/>
  </si>
  <si>
    <t>5</t>
    <phoneticPr fontId="6"/>
  </si>
  <si>
    <t>11</t>
    <phoneticPr fontId="6"/>
  </si>
  <si>
    <t>12</t>
    <phoneticPr fontId="6"/>
  </si>
  <si>
    <t>20</t>
    <phoneticPr fontId="6"/>
  </si>
  <si>
    <t>Cはコミッティ担当、Bはコミッティボート提供。</t>
    <phoneticPr fontId="6"/>
  </si>
  <si>
    <t xml:space="preserve">　皆 勤 賞    </t>
    <phoneticPr fontId="6"/>
  </si>
  <si>
    <t xml:space="preserve">　参 加 賞  </t>
    <phoneticPr fontId="6"/>
  </si>
  <si>
    <t>小網代フリートレース　コミッティポイント</t>
    <phoneticPr fontId="6"/>
  </si>
  <si>
    <t>担当者名</t>
    <rPh sb="0" eb="2">
      <t>タントウ</t>
    </rPh>
    <rPh sb="2" eb="3">
      <t>シャ</t>
    </rPh>
    <rPh sb="3" eb="4">
      <t>メイ</t>
    </rPh>
    <phoneticPr fontId="6"/>
  </si>
  <si>
    <t>敬称略</t>
    <rPh sb="0" eb="2">
      <t>ケイショウ</t>
    </rPh>
    <rPh sb="2" eb="3">
      <t>リャク</t>
    </rPh>
    <phoneticPr fontId="6"/>
  </si>
  <si>
    <t>本部艇</t>
    <rPh sb="0" eb="2">
      <t>ホンブ</t>
    </rPh>
    <rPh sb="2" eb="3">
      <t>テイ</t>
    </rPh>
    <phoneticPr fontId="6"/>
  </si>
  <si>
    <t>Kマーク担当</t>
    <rPh sb="4" eb="6">
      <t>タントウ</t>
    </rPh>
    <phoneticPr fontId="6"/>
  </si>
  <si>
    <t>26</t>
  </si>
  <si>
    <t>27</t>
  </si>
  <si>
    <t>28</t>
  </si>
  <si>
    <t>29</t>
  </si>
  <si>
    <t>30</t>
  </si>
  <si>
    <t>KFR開催</t>
    <rPh sb="3" eb="5">
      <t>カイサイ</t>
    </rPh>
    <phoneticPr fontId="6"/>
  </si>
  <si>
    <t>日程</t>
  </si>
  <si>
    <t>Aマーク担当</t>
  </si>
  <si>
    <t>スタート</t>
    <phoneticPr fontId="6"/>
  </si>
  <si>
    <t>ケロニア</t>
  </si>
  <si>
    <t>注２）</t>
  </si>
  <si>
    <t>熱海ランデブーレース　</t>
  </si>
  <si>
    <t>ナジャ</t>
  </si>
  <si>
    <t>テティス</t>
  </si>
  <si>
    <t>HAURAKI</t>
  </si>
  <si>
    <t>Bitter End</t>
  </si>
  <si>
    <t>BASIC</t>
  </si>
  <si>
    <t>SPIRIT OF TOKYO</t>
  </si>
  <si>
    <t>INDICUM</t>
  </si>
  <si>
    <t>じゃがたら</t>
  </si>
  <si>
    <t>後期</t>
    <rPh sb="0" eb="2">
      <t>コウキ</t>
    </rPh>
    <phoneticPr fontId="5"/>
  </si>
  <si>
    <t>得点計</t>
    <phoneticPr fontId="5"/>
  </si>
  <si>
    <t>年間得点計</t>
    <rPh sb="0" eb="2">
      <t>ネンカン</t>
    </rPh>
    <phoneticPr fontId="5"/>
  </si>
  <si>
    <t>小網代ヨットクラブ レース委員会</t>
    <rPh sb="0" eb="1">
      <t>コ</t>
    </rPh>
    <rPh sb="1" eb="3">
      <t>アジロ</t>
    </rPh>
    <rPh sb="13" eb="16">
      <t>イインカイ</t>
    </rPh>
    <phoneticPr fontId="5"/>
  </si>
  <si>
    <t>実施日</t>
    <rPh sb="0" eb="2">
      <t>ジッシ</t>
    </rPh>
    <rPh sb="2" eb="3">
      <t>ビ</t>
    </rPh>
    <phoneticPr fontId="21"/>
  </si>
  <si>
    <t>本部艇</t>
    <rPh sb="0" eb="2">
      <t>ホンブ</t>
    </rPh>
    <rPh sb="2" eb="3">
      <t>テイ</t>
    </rPh>
    <phoneticPr fontId="5"/>
  </si>
  <si>
    <t>マーク担当</t>
    <rPh sb="3" eb="5">
      <t>タントウ</t>
    </rPh>
    <phoneticPr fontId="5"/>
  </si>
  <si>
    <t>1月</t>
    <rPh sb="1" eb="2">
      <t>ガツ</t>
    </rPh>
    <phoneticPr fontId="5"/>
  </si>
  <si>
    <t>2月</t>
    <rPh sb="1" eb="2">
      <t>ガツ</t>
    </rPh>
    <phoneticPr fontId="5"/>
  </si>
  <si>
    <t>3月</t>
    <rPh sb="1" eb="2">
      <t>ガツ</t>
    </rPh>
    <phoneticPr fontId="5"/>
  </si>
  <si>
    <t>4月</t>
    <rPh sb="1" eb="2">
      <t>ガツ</t>
    </rPh>
    <phoneticPr fontId="5"/>
  </si>
  <si>
    <t>5月</t>
    <rPh sb="1" eb="2">
      <t>ガツ</t>
    </rPh>
    <phoneticPr fontId="5"/>
  </si>
  <si>
    <t>6月</t>
    <rPh sb="1" eb="2">
      <t>ガツ</t>
    </rPh>
    <phoneticPr fontId="5"/>
  </si>
  <si>
    <t>7月</t>
    <rPh sb="1" eb="2">
      <t>ガツ</t>
    </rPh>
    <phoneticPr fontId="5"/>
  </si>
  <si>
    <t>8月</t>
    <rPh sb="1" eb="2">
      <t>ガツ</t>
    </rPh>
    <phoneticPr fontId="5"/>
  </si>
  <si>
    <t>9月</t>
    <rPh sb="1" eb="2">
      <t>ガツ</t>
    </rPh>
    <phoneticPr fontId="5"/>
  </si>
  <si>
    <t>10月</t>
    <rPh sb="2" eb="3">
      <t>ガツ</t>
    </rPh>
    <phoneticPr fontId="5"/>
  </si>
  <si>
    <t>11月</t>
    <rPh sb="2" eb="3">
      <t>ガツ</t>
    </rPh>
    <phoneticPr fontId="5"/>
  </si>
  <si>
    <t>12月</t>
    <rPh sb="2" eb="3">
      <t>ガツ</t>
    </rPh>
    <phoneticPr fontId="5"/>
  </si>
  <si>
    <t>風速：xxxノット
風向：　
天気：
◇ｺﾐｯﾃｨ：</t>
    <phoneticPr fontId="5"/>
  </si>
  <si>
    <t>風向：　</t>
    <phoneticPr fontId="5"/>
  </si>
  <si>
    <t>天気：</t>
    <phoneticPr fontId="5"/>
  </si>
  <si>
    <t>次回
2015年８月16日 
◇ｺﾐｯﾃｨ：くろしお</t>
    <phoneticPr fontId="5"/>
  </si>
  <si>
    <t>ｺﾐｯﾃｨ：</t>
    <phoneticPr fontId="5"/>
  </si>
  <si>
    <t>2月</t>
  </si>
  <si>
    <t>3月</t>
  </si>
  <si>
    <t>4月</t>
  </si>
  <si>
    <t>5月</t>
  </si>
  <si>
    <t>6月</t>
  </si>
  <si>
    <t>7月</t>
  </si>
  <si>
    <t>8月</t>
  </si>
  <si>
    <t>9月</t>
  </si>
  <si>
    <t>10月</t>
  </si>
  <si>
    <t>11月</t>
  </si>
  <si>
    <t>12月</t>
  </si>
  <si>
    <t>ｺｰｽ：</t>
    <phoneticPr fontId="5"/>
  </si>
  <si>
    <t>E</t>
    <phoneticPr fontId="5"/>
  </si>
  <si>
    <t>　ステンドグラス楯</t>
    <phoneticPr fontId="5"/>
  </si>
  <si>
    <t xml:space="preserve">　各月トップ賞  </t>
    <rPh sb="1" eb="2">
      <t>カク</t>
    </rPh>
    <rPh sb="2" eb="3">
      <t>ツキ</t>
    </rPh>
    <phoneticPr fontId="6"/>
  </si>
  <si>
    <t>（半期全回出場した艇）</t>
    <phoneticPr fontId="5"/>
  </si>
  <si>
    <t>（半期2回以上出場した艇）</t>
    <phoneticPr fontId="5"/>
  </si>
  <si>
    <t>小網代フリートレース成績（確定）</t>
    <rPh sb="10" eb="12">
      <t>セイセキ</t>
    </rPh>
    <rPh sb="13" eb="15">
      <t>カクテイ</t>
    </rPh>
    <phoneticPr fontId="6"/>
  </si>
  <si>
    <t>HAYATE</t>
  </si>
  <si>
    <t>SHARK X</t>
  </si>
  <si>
    <t>桜工</t>
  </si>
  <si>
    <t>ランカ</t>
  </si>
  <si>
    <t xml:space="preserve"> </t>
    <phoneticPr fontId="5"/>
  </si>
  <si>
    <t>レース参加艇数</t>
    <rPh sb="3" eb="5">
      <t>サンカ</t>
    </rPh>
    <rPh sb="5" eb="6">
      <t>テイ</t>
    </rPh>
    <rPh sb="6" eb="7">
      <t>スウ</t>
    </rPh>
    <phoneticPr fontId="5"/>
  </si>
  <si>
    <t>艇　名</t>
    <rPh sb="0" eb="1">
      <t>テイ</t>
    </rPh>
    <rPh sb="2" eb="3">
      <t>ナ</t>
    </rPh>
    <phoneticPr fontId="5"/>
  </si>
  <si>
    <t>EBB TIDE</t>
  </si>
  <si>
    <t>ﾌｪﾆｯｸｽ</t>
  </si>
  <si>
    <t>Ⅱ</t>
  </si>
  <si>
    <t xml:space="preserve"> 秒/ﾏｲﾙ</t>
  </si>
  <si>
    <t>RATING</t>
    <phoneticPr fontId="5"/>
  </si>
  <si>
    <t>H</t>
  </si>
  <si>
    <t>H</t>
    <phoneticPr fontId="5"/>
  </si>
  <si>
    <t>J</t>
    <phoneticPr fontId="5"/>
  </si>
  <si>
    <t>K</t>
    <phoneticPr fontId="5"/>
  </si>
  <si>
    <t>H</t>
    <phoneticPr fontId="5"/>
  </si>
  <si>
    <t>初島</t>
    <rPh sb="0" eb="2">
      <t>ハツシマ</t>
    </rPh>
    <phoneticPr fontId="5"/>
  </si>
  <si>
    <t>リミット</t>
    <phoneticPr fontId="5"/>
  </si>
  <si>
    <t>得点</t>
    <rPh sb="0" eb="2">
      <t>トクテン</t>
    </rPh>
    <phoneticPr fontId="5"/>
  </si>
  <si>
    <r>
      <rPr>
        <b/>
        <sz val="11"/>
        <rFont val="HGSｺﾞｼｯｸM"/>
        <family val="3"/>
        <charset val="128"/>
      </rPr>
      <t>ﾄｯﾌ</t>
    </r>
    <r>
      <rPr>
        <b/>
        <sz val="10"/>
        <rFont val="HGSｺﾞｼｯｸM"/>
        <family val="3"/>
        <charset val="128"/>
      </rPr>
      <t>ﾟ</t>
    </r>
    <r>
      <rPr>
        <b/>
        <sz val="8"/>
        <rFont val="HGSｺﾞｼｯｸM"/>
        <family val="3"/>
        <charset val="128"/>
      </rPr>
      <t>との</t>
    </r>
    <r>
      <rPr>
        <b/>
        <sz val="11"/>
        <rFont val="HGSｺﾞｼｯｸM"/>
        <family val="3"/>
        <charset val="128"/>
      </rPr>
      <t>差</t>
    </r>
    <phoneticPr fontId="6"/>
  </si>
  <si>
    <r>
      <rPr>
        <sz val="12"/>
        <rFont val="HGSｺﾞｼｯｸM"/>
        <family val="3"/>
        <charset val="128"/>
      </rPr>
      <t xml:space="preserve"> CT=ET-TA×D</t>
    </r>
    <r>
      <rPr>
        <sz val="11"/>
        <rFont val="HGSｺﾞｼｯｸM"/>
        <family val="3"/>
        <charset val="128"/>
      </rPr>
      <t xml:space="preserve">
 </t>
    </r>
    <r>
      <rPr>
        <sz val="10"/>
        <rFont val="HGSｺﾞｼｯｸM"/>
        <family val="3"/>
        <charset val="128"/>
      </rPr>
      <t>CT:修正時間(S)   ET:所要時間(S)
 TA:ｱﾛｰﾜﾝｽ(S/NM)</t>
    </r>
    <r>
      <rPr>
        <sz val="10"/>
        <color indexed="10"/>
        <rFont val="HGSｺﾞｼｯｸM"/>
        <family val="3"/>
        <charset val="128"/>
      </rPr>
      <t xml:space="preserve">  </t>
    </r>
    <r>
      <rPr>
        <sz val="10"/>
        <rFont val="HGSｺﾞｼｯｸM"/>
        <family val="3"/>
        <charset val="128"/>
      </rPr>
      <t>D :ﾚｰｽ距離(NM)</t>
    </r>
    <phoneticPr fontId="6"/>
  </si>
  <si>
    <r>
      <rPr>
        <sz val="12"/>
        <rFont val="HGSｺﾞｼｯｸM"/>
        <family val="3"/>
        <charset val="128"/>
      </rPr>
      <t xml:space="preserve"> 得点=20(N＋1‐J)/N</t>
    </r>
    <r>
      <rPr>
        <sz val="11"/>
        <rFont val="HGSｺﾞｼｯｸM"/>
        <family val="3"/>
        <charset val="128"/>
      </rPr>
      <t xml:space="preserve">
</t>
    </r>
    <r>
      <rPr>
        <sz val="10"/>
        <rFont val="HGSｺﾞｼｯｸM"/>
        <family val="3"/>
        <charset val="128"/>
      </rPr>
      <t xml:space="preserve"> N:参加艇数　 J:順位　
 DコースおよびＦコースは上記の1.5倍,DNS,DNF等は1点,DSQは0点</t>
    </r>
    <r>
      <rPr>
        <sz val="11"/>
        <rFont val="HGSｺﾞｼｯｸM"/>
        <family val="3"/>
        <charset val="128"/>
      </rPr>
      <t xml:space="preserve">
 </t>
    </r>
    <r>
      <rPr>
        <sz val="12"/>
        <rFont val="HGSｺﾞｼｯｸM"/>
        <family val="3"/>
        <charset val="128"/>
      </rPr>
      <t xml:space="preserve">初島レースの得点
      =30(N-J)/(N-1)+10
 </t>
    </r>
    <r>
      <rPr>
        <sz val="10"/>
        <rFont val="HGSｺﾞｼｯｸM"/>
        <family val="3"/>
        <charset val="128"/>
      </rPr>
      <t>月例の2倍,最下位艇10点,DNF5点</t>
    </r>
    <rPh sb="78" eb="80">
      <t>トクテン</t>
    </rPh>
    <phoneticPr fontId="6"/>
  </si>
  <si>
    <r>
      <rPr>
        <b/>
        <sz val="11"/>
        <rFont val="HGSｺﾞｼｯｸM"/>
        <family val="3"/>
        <charset val="128"/>
      </rPr>
      <t>ﾄｯﾌﾟ</t>
    </r>
    <r>
      <rPr>
        <b/>
        <sz val="8"/>
        <rFont val="HGSｺﾞｼｯｸM"/>
        <family val="3"/>
        <charset val="128"/>
      </rPr>
      <t>との</t>
    </r>
    <r>
      <rPr>
        <b/>
        <sz val="11"/>
        <rFont val="HGSｺﾞｼｯｸM"/>
        <family val="3"/>
        <charset val="128"/>
      </rPr>
      <t>差</t>
    </r>
    <phoneticPr fontId="6"/>
  </si>
  <si>
    <r>
      <rPr>
        <sz val="12"/>
        <rFont val="HGSｺﾞｼｯｸM"/>
        <family val="3"/>
        <charset val="128"/>
      </rPr>
      <t xml:space="preserve"> CT=ET-TA×D</t>
    </r>
    <r>
      <rPr>
        <sz val="11"/>
        <rFont val="HGSｺﾞｼｯｸM"/>
        <family val="3"/>
        <charset val="128"/>
      </rPr>
      <t xml:space="preserve">
 </t>
    </r>
    <r>
      <rPr>
        <sz val="10"/>
        <rFont val="HGSｺﾞｼｯｸM"/>
        <family val="3"/>
        <charset val="128"/>
      </rPr>
      <t>CT:修正時間(S)   ET:所要時間(S)
 TA:ｱﾛｰﾜﾝｽ(S/NM)</t>
    </r>
    <r>
      <rPr>
        <sz val="10"/>
        <color indexed="10"/>
        <rFont val="HGSｺﾞｼｯｸM"/>
        <family val="3"/>
        <charset val="128"/>
      </rPr>
      <t xml:space="preserve">  </t>
    </r>
    <r>
      <rPr>
        <sz val="10"/>
        <rFont val="HGSｺﾞｼｯｸM"/>
        <family val="3"/>
        <charset val="128"/>
      </rPr>
      <t>D :ﾚｰｽ距離(NM)</t>
    </r>
    <phoneticPr fontId="6"/>
  </si>
  <si>
    <t>KFRランデブーレース</t>
    <phoneticPr fontId="5"/>
  </si>
  <si>
    <t>KFRランデブー</t>
    <phoneticPr fontId="5"/>
  </si>
  <si>
    <t>合同</t>
    <rPh sb="0" eb="2">
      <t>ゴウドウ</t>
    </rPh>
    <phoneticPr fontId="5"/>
  </si>
  <si>
    <t>J</t>
  </si>
  <si>
    <t>Ms.M</t>
  </si>
  <si>
    <t>仰秀</t>
  </si>
  <si>
    <t>スタート時間表
による</t>
    <rPh sb="4" eb="6">
      <t>ジカン</t>
    </rPh>
    <rPh sb="6" eb="7">
      <t>ヒョウ</t>
    </rPh>
    <phoneticPr fontId="5"/>
  </si>
  <si>
    <t>香</t>
  </si>
  <si>
    <t>G</t>
    <phoneticPr fontId="5"/>
  </si>
  <si>
    <t>参考：次年度</t>
    <rPh sb="0" eb="2">
      <t>サンコウ</t>
    </rPh>
    <rPh sb="3" eb="6">
      <t>ジネンド</t>
    </rPh>
    <phoneticPr fontId="5"/>
  </si>
  <si>
    <t>M</t>
    <phoneticPr fontId="5"/>
  </si>
  <si>
    <t>1月</t>
    <rPh sb="1" eb="2">
      <t>ガツ</t>
    </rPh>
    <phoneticPr fontId="5"/>
  </si>
  <si>
    <t>未定</t>
    <rPh sb="0" eb="2">
      <t>ミテイ</t>
    </rPh>
    <phoneticPr fontId="5"/>
  </si>
  <si>
    <t>MAX=25</t>
    <phoneticPr fontId="5"/>
  </si>
  <si>
    <t>MAX=15</t>
    <phoneticPr fontId="5"/>
  </si>
  <si>
    <t xml:space="preserve">  ～   kt</t>
    <phoneticPr fontId="5"/>
  </si>
  <si>
    <t xml:space="preserve">  ～ </t>
    <phoneticPr fontId="40"/>
  </si>
  <si>
    <t>Ｆ</t>
  </si>
  <si>
    <t>未決定</t>
    <rPh sb="0" eb="3">
      <t>ミケッテイ</t>
    </rPh>
    <phoneticPr fontId="5"/>
  </si>
  <si>
    <t>ﾈﾌﾟﾁｭｰﾝXⅡ</t>
  </si>
  <si>
    <t>MAX=25</t>
    <phoneticPr fontId="5"/>
  </si>
  <si>
    <r>
      <rPr>
        <sz val="9"/>
        <rFont val="ＭＳ 明朝"/>
        <family val="1"/>
        <charset val="128"/>
      </rPr>
      <t xml:space="preserve">
</t>
    </r>
    <r>
      <rPr>
        <sz val="11"/>
        <rFont val="ＭＳ 明朝"/>
        <family val="1"/>
        <charset val="128"/>
      </rPr>
      <t>TAⅠ      10kt以下</t>
    </r>
    <rPh sb="14" eb="16">
      <t>イカ</t>
    </rPh>
    <phoneticPr fontId="5"/>
  </si>
  <si>
    <t>MILESTONE</t>
  </si>
  <si>
    <t>VITTORIA</t>
  </si>
  <si>
    <t>VEGA7</t>
  </si>
  <si>
    <t>,</t>
    <phoneticPr fontId="71"/>
  </si>
  <si>
    <r>
      <rPr>
        <sz val="9"/>
        <rFont val="ＭＳ 明朝"/>
        <family val="1"/>
        <charset val="128"/>
      </rPr>
      <t xml:space="preserve">
</t>
    </r>
    <r>
      <rPr>
        <sz val="11"/>
        <rFont val="ＭＳ 明朝"/>
        <family val="1"/>
        <charset val="128"/>
      </rPr>
      <t>TAⅢ   18kt以上</t>
    </r>
  </si>
  <si>
    <t>＃590</t>
  </si>
  <si>
    <t>6793</t>
  </si>
  <si>
    <t>Miss Nippon</t>
  </si>
  <si>
    <t>飛車角</t>
  </si>
  <si>
    <t>Zipang</t>
  </si>
  <si>
    <t>VEGA8</t>
  </si>
  <si>
    <t>胡桃</t>
  </si>
  <si>
    <t>MELTEMI</t>
  </si>
  <si>
    <t>CYNTHIA Ⅳ</t>
  </si>
  <si>
    <t>Jellyfish 3</t>
  </si>
  <si>
    <t>＃591</t>
  </si>
  <si>
    <t>＃592</t>
  </si>
  <si>
    <t>＃593</t>
  </si>
  <si>
    <t>＃594</t>
  </si>
  <si>
    <t>＃595</t>
  </si>
  <si>
    <t>＃598</t>
  </si>
  <si>
    <t>＃603</t>
  </si>
  <si>
    <t>＃604</t>
  </si>
  <si>
    <t>2024年度 前期</t>
    <rPh sb="7" eb="9">
      <t>ゼンキ</t>
    </rPh>
    <phoneticPr fontId="6"/>
  </si>
  <si>
    <t>G</t>
  </si>
  <si>
    <t>Ｄ</t>
  </si>
  <si>
    <t>D</t>
    <phoneticPr fontId="5"/>
  </si>
  <si>
    <t>SUNNY QUEEN</t>
  </si>
  <si>
    <t>Miss Emica</t>
  </si>
  <si>
    <t>波勝</t>
    <rPh sb="0" eb="2">
      <t>ハガチ</t>
    </rPh>
    <phoneticPr fontId="5"/>
  </si>
  <si>
    <t>飛車角</t>
    <rPh sb="0" eb="3">
      <t>ヒシャカク</t>
    </rPh>
    <phoneticPr fontId="5"/>
  </si>
  <si>
    <t>テティス</t>
    <phoneticPr fontId="5"/>
  </si>
  <si>
    <t>2025年2月17日</t>
    <phoneticPr fontId="5"/>
  </si>
  <si>
    <t>〇</t>
    <phoneticPr fontId="5"/>
  </si>
  <si>
    <t>2025年</t>
    <rPh sb="4" eb="5">
      <t>ネン</t>
    </rPh>
    <phoneticPr fontId="5"/>
  </si>
  <si>
    <t>＃605</t>
  </si>
  <si>
    <t>＃606</t>
  </si>
  <si>
    <t>＃607</t>
  </si>
  <si>
    <t>＃608</t>
  </si>
  <si>
    <t>＃609</t>
  </si>
  <si>
    <t>＃610</t>
  </si>
  <si>
    <t>＃611</t>
  </si>
  <si>
    <t>＃612</t>
  </si>
  <si>
    <t>＃613</t>
  </si>
  <si>
    <t>＃614</t>
  </si>
  <si>
    <t>＃615</t>
  </si>
  <si>
    <t>＃616</t>
  </si>
  <si>
    <t>＃617</t>
  </si>
  <si>
    <t>サーモン４</t>
  </si>
  <si>
    <t>ネプチューンXII</t>
  </si>
  <si>
    <t>Miss Emica</t>
    <phoneticPr fontId="5"/>
  </si>
  <si>
    <t>アイデアル</t>
    <phoneticPr fontId="5"/>
  </si>
  <si>
    <t>2025年KFRコミッティー担当一覧</t>
    <rPh sb="4" eb="5">
      <t>ネン</t>
    </rPh>
    <rPh sb="14" eb="16">
      <t>タントウ</t>
    </rPh>
    <rPh sb="16" eb="18">
      <t>イチラン</t>
    </rPh>
    <phoneticPr fontId="5"/>
  </si>
  <si>
    <t>2025公示 帆走指示書より</t>
    <rPh sb="4" eb="6">
      <t>コウジ</t>
    </rPh>
    <rPh sb="7" eb="9">
      <t>ハンソウ</t>
    </rPh>
    <rPh sb="9" eb="12">
      <t>シジショ</t>
    </rPh>
    <phoneticPr fontId="5"/>
  </si>
  <si>
    <t>2025年度 後期</t>
    <rPh sb="7" eb="9">
      <t>コウキ</t>
    </rPh>
    <phoneticPr fontId="6"/>
  </si>
  <si>
    <t>レース委員会　原　眞由彦</t>
    <rPh sb="3" eb="6">
      <t>イインカイ</t>
    </rPh>
    <rPh sb="7" eb="8">
      <t>ハラ</t>
    </rPh>
    <rPh sb="9" eb="12">
      <t>マユヒコ</t>
    </rPh>
    <phoneticPr fontId="6"/>
  </si>
  <si>
    <t>2026/1/31現在</t>
    <rPh sb="9" eb="11">
      <t>ゲンザイ</t>
    </rPh>
    <phoneticPr fontId="6"/>
  </si>
  <si>
    <t>相模湾オープン合同</t>
    <rPh sb="0" eb="3">
      <t>サガミワン</t>
    </rPh>
    <rPh sb="7" eb="9">
      <t>ゴウドウ</t>
    </rPh>
    <phoneticPr fontId="5"/>
  </si>
  <si>
    <t>IXORA Ⅳ</t>
    <phoneticPr fontId="5"/>
  </si>
  <si>
    <t>各艇のＴＡデータ</t>
    <rPh sb="0" eb="1">
      <t>カク</t>
    </rPh>
    <rPh sb="1" eb="2">
      <t>テイ</t>
    </rPh>
    <phoneticPr fontId="5"/>
  </si>
  <si>
    <t>SAIL No.</t>
    <phoneticPr fontId="5"/>
  </si>
  <si>
    <t>上
架</t>
    <rPh sb="0" eb="1">
      <t>ウエ</t>
    </rPh>
    <rPh sb="2" eb="3">
      <t>カ</t>
    </rPh>
    <phoneticPr fontId="5"/>
  </si>
  <si>
    <r>
      <rPr>
        <sz val="9"/>
        <rFont val="ＭＳ 明朝"/>
        <family val="1"/>
        <charset val="128"/>
      </rPr>
      <t xml:space="preserve">
</t>
    </r>
    <r>
      <rPr>
        <sz val="11"/>
        <rFont val="ＭＳ 明朝"/>
        <family val="1"/>
        <charset val="128"/>
      </rPr>
      <t>TAⅡ  10kt～      18kt</t>
    </r>
    <phoneticPr fontId="71"/>
  </si>
  <si>
    <t>ランデブーレース</t>
    <phoneticPr fontId="71"/>
  </si>
  <si>
    <t>熱海ランデブーレース</t>
    <rPh sb="0" eb="2">
      <t>アタミ</t>
    </rPh>
    <phoneticPr fontId="71"/>
  </si>
  <si>
    <t xml:space="preserve">【レースコメント】
【レース委員会より】
</t>
    <rPh sb="18" eb="21">
      <t>イインカイ</t>
    </rPh>
    <phoneticPr fontId="5"/>
  </si>
  <si>
    <t>＃611</t>
    <phoneticPr fontId="71"/>
  </si>
  <si>
    <t>Ａ</t>
  </si>
  <si>
    <t>A</t>
    <phoneticPr fontId="5"/>
  </si>
  <si>
    <t xml:space="preserve"> 11～18  kt</t>
    <phoneticPr fontId="5"/>
  </si>
  <si>
    <t>南西～南</t>
    <rPh sb="0" eb="2">
      <t>ナンセイ</t>
    </rPh>
    <rPh sb="3" eb="4">
      <t>ミナミ</t>
    </rPh>
    <phoneticPr fontId="40"/>
  </si>
  <si>
    <t>ORCの為11:00START</t>
    <rPh sb="4" eb="5">
      <t>タメ</t>
    </rPh>
    <phoneticPr fontId="40"/>
  </si>
  <si>
    <t>RET</t>
    <phoneticPr fontId="40"/>
  </si>
  <si>
    <t>コミッティ</t>
    <phoneticPr fontId="40"/>
  </si>
  <si>
    <t>ふるたか</t>
    <phoneticPr fontId="5"/>
  </si>
  <si>
    <t>小田原</t>
    <rPh sb="0" eb="3">
      <t>オダワラ</t>
    </rPh>
    <phoneticPr fontId="5"/>
  </si>
  <si>
    <t>寺江</t>
    <rPh sb="0" eb="2">
      <t>テラエ</t>
    </rPh>
    <phoneticPr fontId="5"/>
  </si>
  <si>
    <t>福田</t>
    <rPh sb="0" eb="2">
      <t>フクダ</t>
    </rPh>
    <phoneticPr fontId="5"/>
  </si>
  <si>
    <t>野崎</t>
    <rPh sb="0" eb="2">
      <t>ノザキ</t>
    </rPh>
    <phoneticPr fontId="5"/>
  </si>
  <si>
    <t>DNC</t>
    <phoneticPr fontId="40"/>
  </si>
  <si>
    <t>【レースコメント】
7月KFRは、相模湾オープンヨットレースと共同で開催で、
コースは小網代沖～長者ヶ崎沖の往復約8マイルのコース。はやとりはダブルエントリーした。
スタートはKFR艇とシーボニアAクラス艇の計19艇が同時で、10:50スタート、オールクリアだった。
強めのブローが南から西にふれるなかリーチング気味のスピンラン。各艇、風の振れに苦労、トラブルに見舞われた艇もあったようだ。長者ヶ崎マークでは各艇が近接しながら回航、はやとりは、南西に少し出したあとタックしゴールに向かう。風が少し落ち始め、また上り気味の風でゴールラインに若干高さが足りず、タックしながらのフィニッシュとなった。はやとりでは珍しい久々の修正1位を頂く、運営いただいたみなさまありがとうございました。
はやとり　野村</t>
    <rPh sb="346" eb="348">
      <t>ノムラ</t>
    </rPh>
    <phoneticPr fontId="5"/>
  </si>
  <si>
    <t xml:space="preserve"> 15～22 kt</t>
    <phoneticPr fontId="71"/>
  </si>
  <si>
    <t>南～南西</t>
    <rPh sb="0" eb="1">
      <t>ミナミ</t>
    </rPh>
    <rPh sb="2" eb="4">
      <t>ナンセイ</t>
    </rPh>
    <phoneticPr fontId="71"/>
  </si>
  <si>
    <t>Ⅲ</t>
  </si>
  <si>
    <t>桜工</t>
    <rPh sb="0" eb="1">
      <t>サクラ</t>
    </rPh>
    <rPh sb="1" eb="2">
      <t>コウ</t>
    </rPh>
    <phoneticPr fontId="5"/>
  </si>
  <si>
    <t>胡桃</t>
    <rPh sb="0" eb="2">
      <t>クルミ</t>
    </rPh>
    <phoneticPr fontId="5"/>
  </si>
  <si>
    <t>RET</t>
    <phoneticPr fontId="71"/>
  </si>
  <si>
    <t>コミッティ</t>
    <phoneticPr fontId="71"/>
  </si>
  <si>
    <t>はやとり</t>
    <phoneticPr fontId="5"/>
  </si>
  <si>
    <t>野村</t>
    <rPh sb="0" eb="2">
      <t>ノムラ</t>
    </rPh>
    <phoneticPr fontId="5"/>
  </si>
  <si>
    <t>新倉</t>
    <rPh sb="0" eb="2">
      <t>ニイクラ</t>
    </rPh>
    <phoneticPr fontId="5"/>
  </si>
  <si>
    <t>浜辺</t>
    <rPh sb="0" eb="2">
      <t>ハマベ</t>
    </rPh>
    <phoneticPr fontId="5"/>
  </si>
  <si>
    <t>遠藤</t>
    <rPh sb="0" eb="2">
      <t>エンドウ</t>
    </rPh>
    <phoneticPr fontId="5"/>
  </si>
  <si>
    <t>6</t>
    <phoneticPr fontId="6"/>
  </si>
  <si>
    <t>10</t>
    <phoneticPr fontId="6"/>
  </si>
  <si>
    <t>15</t>
    <phoneticPr fontId="6"/>
  </si>
  <si>
    <t>16</t>
    <phoneticPr fontId="6"/>
  </si>
  <si>
    <t>17</t>
    <phoneticPr fontId="6"/>
  </si>
  <si>
    <t>レース委員会　原　眞由彦</t>
    <rPh sb="7" eb="8">
      <t>ハラ</t>
    </rPh>
    <rPh sb="9" eb="12">
      <t>マユヒコ</t>
    </rPh>
    <phoneticPr fontId="5"/>
  </si>
  <si>
    <t>IXORA Ⅳ</t>
  </si>
  <si>
    <t>前期</t>
    <rPh sb="0" eb="2">
      <t>ゼンキ</t>
    </rPh>
    <phoneticPr fontId="5"/>
  </si>
  <si>
    <t>2025年間総合</t>
    <rPh sb="4" eb="6">
      <t>ネンカン</t>
    </rPh>
    <rPh sb="6" eb="8">
      <t>ソウゴウ</t>
    </rPh>
    <phoneticPr fontId="6"/>
  </si>
  <si>
    <t>2025年6月現在</t>
    <rPh sb="4" eb="5">
      <t>ネン</t>
    </rPh>
    <rPh sb="6" eb="7">
      <t>ガツ</t>
    </rPh>
    <rPh sb="7" eb="9">
      <t>ゲンザイ</t>
    </rPh>
    <phoneticPr fontId="6"/>
  </si>
  <si>
    <t>【レースコメント】
８月のKFRはテティス4の2025年KFRの初戦となった。SSW15kt～20ktの強風予報に、乗る予定がなかったミーさんを無理やり乗せて４名で参加した。スタート時は17kt、更に風が上がる予報なのでメイン１ポンリーフ、No4ジブをリーフしてNo5としてスタートした。ややアンダーパワーながらよく上る、メインセイルを遊ばせる場面も無く、時折かかるスプレイにご機嫌なヘルムを楽しむ。初めての回航マーク、城ヶ島西方ブイが正面に見えるころ、風は徐々に落ちて14ktにパワーダウン、メインセイルのリーフを解いたがビットリアに先行を許し、２番手で回航。帰路はA3かコード０かの選択に迷ったが、再び風が上がり20ktオーバーとなったところでコード０を張ると、時折SOGが15kt近くまで上がる。サーフィングを楽しむ間も無く、すぐに小網代灯浮標に着く、回航後コード0のままフィニッシュに向かい首尾よくファーストホームを獲得できた。テティス４はこのくらいの風でないと気持ちよく走ってくれないが、レースが中止になるかどうかヒヤヒヤものだった。強風の中頑張っていただいたコミッティーの「はやとり」さんに感謝。  テティス　児玉氏</t>
    <rPh sb="0" eb="514">
      <t>コダマシイインカイ</t>
    </rPh>
    <phoneticPr fontId="5"/>
  </si>
  <si>
    <t>スタート時間</t>
    <rPh sb="4" eb="6">
      <t>ジカン</t>
    </rPh>
    <phoneticPr fontId="71"/>
  </si>
  <si>
    <t xml:space="preserve"> 0～ 15 kt</t>
    <phoneticPr fontId="5"/>
  </si>
  <si>
    <t>天気：晴</t>
    <rPh sb="3" eb="4">
      <t>ハレ</t>
    </rPh>
    <phoneticPr fontId="5"/>
  </si>
  <si>
    <t>風向：西～南</t>
    <rPh sb="3" eb="4">
      <t>ニシ</t>
    </rPh>
    <rPh sb="5" eb="6">
      <t>ミナミ</t>
    </rPh>
    <phoneticPr fontId="5"/>
  </si>
  <si>
    <t>本部艇コミッティ</t>
  </si>
  <si>
    <t xml:space="preserve">北東 ～ </t>
    <rPh sb="0" eb="2">
      <t>ホクトウ</t>
    </rPh>
    <phoneticPr fontId="40"/>
  </si>
  <si>
    <t>ネプチューン</t>
  </si>
  <si>
    <t>ネプチューン</t>
    <phoneticPr fontId="5"/>
  </si>
  <si>
    <t>古屋</t>
    <rPh sb="0" eb="2">
      <t>フルヤ</t>
    </rPh>
    <phoneticPr fontId="5"/>
  </si>
  <si>
    <t>村山</t>
    <rPh sb="0" eb="2">
      <t>ムラヤマ</t>
    </rPh>
    <phoneticPr fontId="5"/>
  </si>
  <si>
    <t>小川</t>
    <rPh sb="0" eb="2">
      <t>オガワ</t>
    </rPh>
    <phoneticPr fontId="5"/>
  </si>
  <si>
    <t>1～ 18kt</t>
    <phoneticPr fontId="5"/>
  </si>
  <si>
    <t>名和</t>
    <rPh sb="0" eb="2">
      <t>ナワ</t>
    </rPh>
    <phoneticPr fontId="5"/>
  </si>
  <si>
    <t xml:space="preserve">【レースコメント】
いつも運営ありがとうございます。おかげで今回のレース優勝させて頂き、ありがとうございました。当日はNEの軽風でMissEmicaの最も苦手な風でした。しかし南西ブイ迄のコースを東にとった事、そして運良く1本の風道を拾う事が出来た事が最大の勝因だったと思います。幸い南西ブイはトップで回航する事が出来ました。復路は同様に取った東コースはフィニッシュではだいぶ離していた後続艇に追いつかれたのでコースがハズレたようです。
KFRは7月、8月も腰が強いMissEmicaに向いた15kt以上の風に恵まれて上位を取る事が出来ました。
MissEmica以前のセーリングスタイルは下田へ数ヶ月ごとのワンコ達とお遊び旅行でしたが小網代ヨットクラブに移ってからはKFRを楽しませて頂いております。
今後ともお付き合い宜しく願いいたします。
戸谷寿男
</t>
    <phoneticPr fontId="5"/>
  </si>
  <si>
    <t>ミスエミカ</t>
  </si>
  <si>
    <t>ミスエミカ</t>
    <phoneticPr fontId="5"/>
  </si>
  <si>
    <t>戸谷</t>
    <rPh sb="0" eb="2">
      <t>トヤ</t>
    </rPh>
    <phoneticPr fontId="5"/>
  </si>
  <si>
    <t>伊藤</t>
    <rPh sb="0" eb="2">
      <t>イトウ</t>
    </rPh>
    <phoneticPr fontId="5"/>
  </si>
  <si>
    <t>川崎</t>
    <rPh sb="0" eb="2">
      <t>カワサキ</t>
    </rPh>
    <phoneticPr fontId="5"/>
  </si>
  <si>
    <t>小松</t>
    <rPh sb="0" eb="2">
      <t>コマツ</t>
    </rPh>
    <phoneticPr fontId="5"/>
  </si>
  <si>
    <t>久保</t>
    <rPh sb="0" eb="2">
      <t>クボ</t>
    </rPh>
    <phoneticPr fontId="5"/>
  </si>
  <si>
    <t xml:space="preserve"> 6～ 15 kt</t>
    <phoneticPr fontId="5"/>
  </si>
  <si>
    <t>東南東</t>
    <rPh sb="0" eb="3">
      <t>トウナントウ</t>
    </rPh>
    <phoneticPr fontId="71"/>
  </si>
  <si>
    <t>東  ～</t>
    <rPh sb="0" eb="1">
      <t>ヒガシ</t>
    </rPh>
    <phoneticPr fontId="40"/>
  </si>
  <si>
    <t>B</t>
    <phoneticPr fontId="5"/>
  </si>
  <si>
    <t>C</t>
    <phoneticPr fontId="5"/>
  </si>
  <si>
    <t>【レースコメント】
初めての西方沖ブイｰ南西沖ブイ回航のレース。
赤白ブイを回航後速やかにジャイブ。岸方面に上り気味に行く艇もある中落とし気味で西方ブイを。徐々に東に振れていた風が北に振れ戻った所でジャイブ。これでゲインして沖からポートで入ってきたV号の前を通過する事ができた。西方沖ブイから南西沖ブイまではアビームかと、ヘビーをミディアムに変えジェネカ―もセットしたが風は更に東に振れポート一本上りとなる。南西沖ブイでは15ノット程度に吹きあがっていたのでヘビーへのチェンジがマストハンドより提案されたが陸に近づいたら落ちると却下され即タック。あとは頑張ってハイクアウト、I号に追いつかれたけれどメイントリ、ヘルムの頑張りで何とか振り切りに成功しました。良い風で楽しませて頂きました。いつもありがとうございます。    SHARK X　マストハンド　関根照久</t>
    <phoneticPr fontId="5"/>
  </si>
  <si>
    <t>北北東～</t>
    <rPh sb="0" eb="3">
      <t>ホクホクトウ</t>
    </rPh>
    <phoneticPr fontId="71"/>
  </si>
  <si>
    <t>東北東</t>
    <rPh sb="0" eb="3">
      <t>トウホクトウ</t>
    </rPh>
    <phoneticPr fontId="71"/>
  </si>
  <si>
    <t>池辺</t>
    <rPh sb="0" eb="2">
      <t>イケベ</t>
    </rPh>
    <phoneticPr fontId="5"/>
  </si>
  <si>
    <t>小池</t>
    <rPh sb="0" eb="2">
      <t>コイケ</t>
    </rPh>
    <phoneticPr fontId="5"/>
  </si>
  <si>
    <t>勝田</t>
    <rPh sb="0" eb="2">
      <t>カツタ</t>
    </rPh>
    <phoneticPr fontId="5"/>
  </si>
  <si>
    <t>飯塚</t>
    <rPh sb="0" eb="2">
      <t>イイヅカ</t>
    </rPh>
    <phoneticPr fontId="5"/>
  </si>
  <si>
    <t>梅林</t>
    <rPh sb="0" eb="2">
      <t>ウメバヤシ</t>
    </rPh>
    <phoneticPr fontId="5"/>
  </si>
  <si>
    <t xml:space="preserve">【レースコメント】
朝の予報は、スタート時北北東の風12～16ノットだが徐々に落ちて13時には10ノットを切るというものであっため予定のＪコースからEコースに変更された。スタートは、時報とのずれが若干あったが、混乱も無く全艇フィニッシュした。スタート後赤白を交わしてから岸寄りに早めにコースを取ったSharkX、テティスが終始レースを支配し、後半も岸寄りの風を上手く掴んだSharkXが着順、修正とも1位となった。2位は、テティス、修正で3位にかまくらとなった。3位でのレースコメントは汗顔である。次回はぜひ、優勝してコメントを書きたいものである。コミッティーの皆様疲れ様でした。また、原レース委員長の工夫で、新しいコースも作られている。ご努力に感謝申し上げる。　かまくら３尾山記　
</t>
    <phoneticPr fontId="5"/>
  </si>
  <si>
    <t>9～ 16  kt</t>
    <phoneticPr fontId="5"/>
  </si>
  <si>
    <t>Hanamizuki</t>
  </si>
  <si>
    <t>〇</t>
  </si>
  <si>
    <t xml:space="preserve">【レースコメント】
【レース委員会より】12月度TA値一部変更有り
</t>
    <rPh sb="25" eb="27">
      <t>ガツド</t>
    </rPh>
    <rPh sb="29" eb="30">
      <t>チ</t>
    </rPh>
    <rPh sb="30" eb="32">
      <t>イチブ</t>
    </rPh>
    <rPh sb="32" eb="35">
      <t>ヘンコウア</t>
    </rPh>
    <phoneticPr fontId="5"/>
  </si>
  <si>
    <t>2025年12月17日</t>
    <phoneticPr fontId="5"/>
  </si>
  <si>
    <t>小網代フリートレース年間成績（確定）</t>
    <rPh sb="10" eb="12">
      <t>ネンカン</t>
    </rPh>
    <rPh sb="12" eb="14">
      <t>セイセキ</t>
    </rPh>
    <rPh sb="15" eb="17">
      <t>カクテイ</t>
    </rPh>
    <phoneticPr fontId="6"/>
  </si>
  <si>
    <t>2025年12月現在</t>
    <phoneticPr fontId="5"/>
  </si>
  <si>
    <t>31</t>
  </si>
  <si>
    <t>32</t>
  </si>
  <si>
    <t>33</t>
  </si>
  <si>
    <t>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</si>
</sst>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
    <numFmt numFmtId="177" formatCode="0.00_ "/>
    <numFmt numFmtId="178" formatCode="0.0_);[Red]\(0.0\)"/>
    <numFmt numFmtId="179" formatCode="0.0_ "/>
    <numFmt numFmtId="180" formatCode="hh:mm"/>
    <numFmt numFmtId="181" formatCode="0.0_ ;[Red]\-0.0\ "/>
    <numFmt numFmtId="182" formatCode="0.0"/>
    <numFmt numFmtId="183" formatCode="@&quot;コース&quot;"/>
    <numFmt numFmtId="184" formatCode="m/d;@"/>
    <numFmt numFmtId="185" formatCode="0.00_);[Red]\(0.00\)"/>
  </numFmts>
  <fonts count="81"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13"/>
      <name val="ＭＳ 明朝"/>
      <family val="1"/>
      <charset val="128"/>
    </font>
    <font>
      <sz val="6"/>
      <name val="ＭＳ Ｐゴシック"/>
      <family val="3"/>
      <charset val="128"/>
    </font>
    <font>
      <sz val="6"/>
      <name val="ＭＳ Ｐゴシック"/>
      <family val="3"/>
      <charset val="128"/>
    </font>
    <font>
      <b/>
      <sz val="18"/>
      <name val="ＭＳ 明朝"/>
      <family val="1"/>
      <charset val="128"/>
    </font>
    <font>
      <sz val="12"/>
      <name val="ＭＳ 明朝"/>
      <family val="1"/>
      <charset val="128"/>
    </font>
    <font>
      <sz val="10"/>
      <name val="ＭＳ 明朝"/>
      <family val="1"/>
      <charset val="128"/>
    </font>
    <font>
      <sz val="11"/>
      <name val="ＭＳ 明朝"/>
      <family val="1"/>
      <charset val="128"/>
    </font>
    <font>
      <b/>
      <sz val="16"/>
      <name val="ＭＳ Ｐ明朝"/>
      <family val="1"/>
      <charset val="128"/>
    </font>
    <font>
      <sz val="12"/>
      <name val="ＭＳ Ｐ明朝"/>
      <family val="1"/>
      <charset val="128"/>
    </font>
    <font>
      <sz val="10"/>
      <name val="ＭＳ Ｐ明朝"/>
      <family val="1"/>
      <charset val="128"/>
    </font>
    <font>
      <sz val="13"/>
      <name val="ＭＳ Ｐ明朝"/>
      <family val="1"/>
      <charset val="128"/>
    </font>
    <font>
      <b/>
      <sz val="13"/>
      <name val="ＭＳ 明朝"/>
      <family val="1"/>
      <charset val="128"/>
    </font>
    <font>
      <sz val="11"/>
      <name val="ＭＳ Ｐゴシック"/>
      <family val="3"/>
      <charset val="128"/>
    </font>
    <font>
      <b/>
      <sz val="16"/>
      <name val="ＭＳ 明朝"/>
      <family val="1"/>
      <charset val="128"/>
    </font>
    <font>
      <sz val="12"/>
      <color indexed="10"/>
      <name val="ＭＳ 明朝"/>
      <family val="1"/>
      <charset val="128"/>
    </font>
    <font>
      <b/>
      <sz val="11"/>
      <color indexed="8"/>
      <name val="Meiryo UI"/>
      <family val="3"/>
      <charset val="128"/>
    </font>
    <font>
      <sz val="11"/>
      <color indexed="8"/>
      <name val="Meiryo UI"/>
      <family val="3"/>
      <charset val="128"/>
    </font>
    <font>
      <sz val="6"/>
      <name val="ＭＳ Ｐゴシック"/>
      <family val="3"/>
      <charset val="128"/>
    </font>
    <font>
      <sz val="8"/>
      <name val="ＭＳ 明朝"/>
      <family val="1"/>
      <charset val="128"/>
    </font>
    <font>
      <sz val="11"/>
      <color indexed="9"/>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明朝"/>
      <family val="1"/>
      <charset val="128"/>
    </font>
    <font>
      <b/>
      <sz val="11"/>
      <color indexed="56"/>
      <name val="ＭＳ Ｐゴシック"/>
      <family val="3"/>
      <charset val="128"/>
    </font>
    <font>
      <b/>
      <sz val="13"/>
      <color indexed="56"/>
      <name val="ＭＳ Ｐゴシック"/>
      <family val="3"/>
      <charset val="128"/>
    </font>
    <font>
      <b/>
      <sz val="15"/>
      <color indexed="56"/>
      <name val="ＭＳ Ｐゴシック"/>
      <family val="3"/>
      <charset val="128"/>
    </font>
    <font>
      <b/>
      <sz val="18"/>
      <color indexed="56"/>
      <name val="ＭＳ Ｐゴシック"/>
      <family val="3"/>
      <charset val="128"/>
    </font>
    <font>
      <sz val="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b/>
      <sz val="14"/>
      <color theme="1"/>
      <name val="ＭＳ Ｐ明朝"/>
      <family val="1"/>
      <charset val="128"/>
    </font>
    <font>
      <b/>
      <sz val="14"/>
      <color theme="1"/>
      <name val="ＭＳ Ｐゴシック"/>
      <family val="3"/>
      <charset val="128"/>
      <scheme val="minor"/>
    </font>
    <font>
      <sz val="8"/>
      <color rgb="FFFF0000"/>
      <name val="ＭＳ Ｐゴシック"/>
      <family val="3"/>
      <charset val="128"/>
      <scheme val="minor"/>
    </font>
    <font>
      <sz val="11"/>
      <color theme="1"/>
      <name val="Meiryo UI"/>
      <family val="3"/>
      <charset val="128"/>
    </font>
    <font>
      <sz val="11"/>
      <name val="ＭＳ Ｐゴシック"/>
      <family val="3"/>
      <charset val="128"/>
      <scheme val="minor"/>
    </font>
    <font>
      <sz val="13"/>
      <name val="HGSｺﾞｼｯｸM"/>
      <family val="3"/>
      <charset val="128"/>
    </font>
    <font>
      <b/>
      <sz val="18"/>
      <name val="HGSｺﾞｼｯｸM"/>
      <family val="3"/>
      <charset val="128"/>
    </font>
    <font>
      <b/>
      <sz val="14"/>
      <name val="HGSｺﾞｼｯｸM"/>
      <family val="3"/>
      <charset val="128"/>
    </font>
    <font>
      <b/>
      <sz val="16"/>
      <color rgb="FFFF0000"/>
      <name val="HGSｺﾞｼｯｸM"/>
      <family val="3"/>
      <charset val="128"/>
    </font>
    <font>
      <b/>
      <sz val="13"/>
      <name val="HGSｺﾞｼｯｸM"/>
      <family val="3"/>
      <charset val="128"/>
    </font>
    <font>
      <b/>
      <sz val="10"/>
      <name val="HGSｺﾞｼｯｸM"/>
      <family val="3"/>
      <charset val="128"/>
    </font>
    <font>
      <sz val="11"/>
      <color theme="1"/>
      <name val="HGSｺﾞｼｯｸM"/>
      <family val="3"/>
      <charset val="128"/>
    </font>
    <font>
      <b/>
      <sz val="12"/>
      <name val="HGSｺﾞｼｯｸM"/>
      <family val="3"/>
      <charset val="128"/>
    </font>
    <font>
      <b/>
      <sz val="11"/>
      <name val="HGSｺﾞｼｯｸM"/>
      <family val="3"/>
      <charset val="128"/>
    </font>
    <font>
      <b/>
      <sz val="8"/>
      <name val="HGSｺﾞｼｯｸM"/>
      <family val="3"/>
      <charset val="128"/>
    </font>
    <font>
      <sz val="11"/>
      <name val="HGSｺﾞｼｯｸM"/>
      <family val="3"/>
      <charset val="128"/>
    </font>
    <font>
      <sz val="10"/>
      <name val="HGSｺﾞｼｯｸM"/>
      <family val="3"/>
      <charset val="128"/>
    </font>
    <font>
      <sz val="12"/>
      <name val="HGSｺﾞｼｯｸM"/>
      <family val="3"/>
      <charset val="128"/>
    </font>
    <font>
      <sz val="9"/>
      <name val="HGSｺﾞｼｯｸM"/>
      <family val="3"/>
      <charset val="128"/>
    </font>
    <font>
      <sz val="10"/>
      <color indexed="10"/>
      <name val="HGSｺﾞｼｯｸM"/>
      <family val="3"/>
      <charset val="128"/>
    </font>
    <font>
      <b/>
      <sz val="12"/>
      <color theme="1"/>
      <name val="HGSｺﾞｼｯｸM"/>
      <family val="3"/>
      <charset val="128"/>
    </font>
    <font>
      <sz val="10"/>
      <color rgb="FFFF0000"/>
      <name val="HGSｺﾞｼｯｸM"/>
      <family val="3"/>
      <charset val="128"/>
    </font>
    <font>
      <b/>
      <sz val="16"/>
      <name val="HGSｺﾞｼｯｸM"/>
      <family val="3"/>
      <charset val="128"/>
    </font>
    <font>
      <b/>
      <sz val="11"/>
      <color theme="1"/>
      <name val="HGSｺﾞｼｯｸM"/>
      <family val="3"/>
      <charset val="128"/>
    </font>
    <font>
      <sz val="12"/>
      <color theme="1"/>
      <name val="HGSｺﾞｼｯｸM"/>
      <family val="3"/>
      <charset val="128"/>
    </font>
    <font>
      <sz val="12"/>
      <color rgb="FF0070C0"/>
      <name val="HGSｺﾞｼｯｸM"/>
      <family val="3"/>
      <charset val="128"/>
    </font>
    <font>
      <sz val="11"/>
      <color indexed="8"/>
      <name val="HGSｺﾞｼｯｸM"/>
      <family val="3"/>
      <charset val="128"/>
    </font>
    <font>
      <sz val="11"/>
      <color rgb="FF00B0F0"/>
      <name val="ＭＳ 明朝"/>
      <family val="1"/>
      <charset val="128"/>
    </font>
    <font>
      <sz val="6"/>
      <name val="ＭＳ Ｐゴシック"/>
      <family val="3"/>
      <charset val="128"/>
      <scheme val="minor"/>
    </font>
    <font>
      <sz val="12"/>
      <color rgb="FF00B050"/>
      <name val="HGSｺﾞｼｯｸM"/>
      <family val="3"/>
      <charset val="128"/>
    </font>
    <font>
      <sz val="9"/>
      <name val="ＭＳ 明朝"/>
      <family val="1"/>
      <charset val="128"/>
    </font>
    <font>
      <sz val="11"/>
      <color indexed="8"/>
      <name val="ＭＳ 明朝"/>
      <family val="1"/>
      <charset val="128"/>
    </font>
    <font>
      <sz val="11"/>
      <color rgb="FF000000"/>
      <name val="ＭＳ 明朝"/>
      <family val="1"/>
      <charset val="128"/>
    </font>
    <font>
      <sz val="11"/>
      <color rgb="FF000000"/>
      <name val="ＭＳ 明朝"/>
      <family val="1"/>
      <charset val="1"/>
    </font>
    <font>
      <sz val="10"/>
      <color rgb="FF000000"/>
      <name val="ＭＳ 明朝"/>
      <family val="1"/>
      <charset val="128"/>
    </font>
    <font>
      <sz val="8"/>
      <name val="HGSｺﾞｼｯｸM"/>
      <family val="3"/>
      <charset val="128"/>
    </font>
    <font>
      <sz val="11"/>
      <color theme="1"/>
      <name val="ＭＳ Ｐゴシック"/>
      <family val="2"/>
      <charset val="128"/>
    </font>
    <font>
      <sz val="11"/>
      <color rgb="FF000000"/>
      <name val="游ゴシック"/>
      <family val="2"/>
      <charset val="128"/>
    </font>
  </fonts>
  <fills count="31">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gray125">
        <bgColor theme="0"/>
      </patternFill>
    </fill>
    <fill>
      <patternFill patternType="solid">
        <fgColor theme="8"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FFFF38"/>
        <bgColor rgb="FFFFFF00"/>
      </patternFill>
    </fill>
  </fills>
  <borders count="19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bottom style="hair">
        <color indexed="64"/>
      </bottom>
      <diagonal/>
    </border>
    <border>
      <left/>
      <right style="medium">
        <color indexed="64"/>
      </right>
      <top/>
      <bottom style="hair">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medium">
        <color indexed="64"/>
      </top>
      <bottom style="thin">
        <color indexed="64"/>
      </bottom>
      <diagonal/>
    </border>
    <border>
      <left/>
      <right/>
      <top style="hair">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hair">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thin">
        <color indexed="64"/>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double">
        <color indexed="64"/>
      </left>
      <right style="medium">
        <color indexed="64"/>
      </right>
      <top style="thin">
        <color indexed="64"/>
      </top>
      <bottom style="hair">
        <color indexed="64"/>
      </bottom>
      <diagonal/>
    </border>
    <border>
      <left style="double">
        <color indexed="64"/>
      </left>
      <right style="medium">
        <color indexed="64"/>
      </right>
      <top style="hair">
        <color indexed="64"/>
      </top>
      <bottom style="hair">
        <color indexed="64"/>
      </bottom>
      <diagonal/>
    </border>
    <border>
      <left style="double">
        <color indexed="64"/>
      </left>
      <right style="medium">
        <color indexed="64"/>
      </right>
      <top style="hair">
        <color indexed="64"/>
      </top>
      <bottom style="thin">
        <color indexed="64"/>
      </bottom>
      <diagonal/>
    </border>
    <border>
      <left style="double">
        <color indexed="64"/>
      </left>
      <right style="medium">
        <color indexed="64"/>
      </right>
      <top/>
      <bottom style="hair">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style="medium">
        <color indexed="64"/>
      </bottom>
      <diagonal/>
    </border>
    <border>
      <left style="medium">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double">
        <color indexed="64"/>
      </left>
      <right style="medium">
        <color indexed="64"/>
      </right>
      <top style="hair">
        <color indexed="64"/>
      </top>
      <bottom style="double">
        <color indexed="64"/>
      </bottom>
      <diagonal/>
    </border>
    <border>
      <left style="double">
        <color indexed="64"/>
      </left>
      <right style="medium">
        <color indexed="64"/>
      </right>
      <top style="medium">
        <color indexed="64"/>
      </top>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8"/>
      </left>
      <right style="thin">
        <color indexed="8"/>
      </right>
      <top/>
      <bottom style="thin">
        <color indexed="8"/>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medium">
        <color indexed="64"/>
      </left>
      <right style="medium">
        <color indexed="64"/>
      </right>
      <top style="thin">
        <color indexed="64"/>
      </top>
      <bottom style="thin">
        <color indexed="64"/>
      </bottom>
      <diagonal/>
    </border>
    <border>
      <left style="thin">
        <color auto="1"/>
      </left>
      <right style="thin">
        <color auto="1"/>
      </right>
      <top style="thin">
        <color auto="1"/>
      </top>
      <bottom style="medium">
        <color auto="1"/>
      </bottom>
      <diagonal/>
    </border>
    <border>
      <left style="thin">
        <color indexed="64"/>
      </left>
      <right/>
      <top style="thin">
        <color indexed="64"/>
      </top>
      <bottom/>
      <diagonal/>
    </border>
    <border>
      <left style="thin">
        <color indexed="8"/>
      </left>
      <right style="thin">
        <color indexed="8"/>
      </right>
      <top style="thin">
        <color indexed="8"/>
      </top>
      <bottom/>
      <diagonal/>
    </border>
    <border>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thin">
        <color indexed="8"/>
      </right>
      <top style="thin">
        <color indexed="8"/>
      </top>
      <bottom style="thin">
        <color indexed="8"/>
      </bottom>
      <diagonal/>
    </border>
    <border>
      <left style="medium">
        <color indexed="64"/>
      </left>
      <right style="thin">
        <color indexed="8"/>
      </right>
      <top style="thin">
        <color indexed="8"/>
      </top>
      <bottom style="thin">
        <color indexed="8"/>
      </bottom>
      <diagonal/>
    </border>
    <border>
      <left style="medium">
        <color indexed="64"/>
      </left>
      <right style="thin">
        <color indexed="8"/>
      </right>
      <top style="thin">
        <color indexed="8"/>
      </top>
      <bottom/>
      <diagonal/>
    </border>
    <border>
      <left/>
      <right style="thin">
        <color indexed="64"/>
      </right>
      <top style="thin">
        <color indexed="64"/>
      </top>
      <bottom/>
      <diagonal/>
    </border>
    <border>
      <left style="thin">
        <color auto="1"/>
      </left>
      <right style="thin">
        <color auto="1"/>
      </right>
      <top style="thin">
        <color auto="1"/>
      </top>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8"/>
      </left>
      <right/>
      <top style="medium">
        <color indexed="64"/>
      </top>
      <bottom style="thin">
        <color indexed="8"/>
      </bottom>
      <diagonal/>
    </border>
    <border>
      <left style="thin">
        <color auto="1"/>
      </left>
      <right/>
      <top style="thin">
        <color auto="1"/>
      </top>
      <bottom style="thin">
        <color auto="1"/>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8"/>
      </right>
      <top/>
      <bottom style="thin">
        <color indexed="8"/>
      </bottom>
      <diagonal/>
    </border>
    <border>
      <left style="thin">
        <color auto="1"/>
      </left>
      <right/>
      <top/>
      <bottom style="thin">
        <color auto="1"/>
      </bottom>
      <diagonal/>
    </border>
    <border>
      <left style="medium">
        <color indexed="64"/>
      </left>
      <right/>
      <top/>
      <bottom style="double">
        <color indexed="64"/>
      </bottom>
      <diagonal/>
    </border>
    <border>
      <left/>
      <right style="thin">
        <color indexed="64"/>
      </right>
      <top/>
      <bottom style="double">
        <color indexed="64"/>
      </bottom>
      <diagonal/>
    </border>
    <border>
      <left style="thin">
        <color auto="1"/>
      </left>
      <right style="thin">
        <color auto="1"/>
      </right>
      <top/>
      <bottom style="double">
        <color indexed="64"/>
      </bottom>
      <diagonal/>
    </border>
    <border>
      <left/>
      <right style="thin">
        <color indexed="8"/>
      </right>
      <top style="thin">
        <color indexed="8"/>
      </top>
      <bottom style="double">
        <color indexed="64"/>
      </bottom>
      <diagonal/>
    </border>
    <border>
      <left style="thin">
        <color indexed="8"/>
      </left>
      <right style="thin">
        <color indexed="8"/>
      </right>
      <top style="thin">
        <color indexed="8"/>
      </top>
      <bottom style="double">
        <color indexed="64"/>
      </bottom>
      <diagonal/>
    </border>
    <border>
      <left style="thin">
        <color indexed="8"/>
      </left>
      <right/>
      <top style="thin">
        <color indexed="8"/>
      </top>
      <bottom style="double">
        <color indexed="64"/>
      </bottom>
      <diagonal/>
    </border>
    <border>
      <left style="thin">
        <color indexed="64"/>
      </left>
      <right style="medium">
        <color indexed="64"/>
      </right>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hair">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style="thin">
        <color indexed="64"/>
      </right>
      <top style="hair">
        <color indexed="64"/>
      </top>
      <bottom style="double">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double">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auto="1"/>
      </left>
      <right style="thin">
        <color auto="1"/>
      </right>
      <top style="thin">
        <color auto="1"/>
      </top>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style="thin">
        <color auto="1"/>
      </top>
      <bottom style="medium">
        <color auto="1"/>
      </bottom>
      <diagonal/>
    </border>
  </borders>
  <cellStyleXfs count="51">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23" fillId="12" borderId="0" applyNumberFormat="0" applyBorder="0" applyAlignment="0" applyProtection="0">
      <alignment vertical="center"/>
    </xf>
    <xf numFmtId="0" fontId="23" fillId="9" borderId="0" applyNumberFormat="0" applyBorder="0" applyAlignment="0" applyProtection="0">
      <alignment vertical="center"/>
    </xf>
    <xf numFmtId="0" fontId="23" fillId="10"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3" fillId="19" borderId="0" applyNumberFormat="0" applyBorder="0" applyAlignment="0" applyProtection="0">
      <alignment vertical="center"/>
    </xf>
    <xf numFmtId="0" fontId="39" fillId="0" borderId="0" applyNumberFormat="0" applyFill="0" applyBorder="0" applyAlignment="0" applyProtection="0">
      <alignment vertical="center"/>
    </xf>
    <xf numFmtId="0" fontId="24" fillId="20" borderId="1" applyNumberFormat="0" applyAlignment="0" applyProtection="0">
      <alignment vertical="center"/>
    </xf>
    <xf numFmtId="0" fontId="25" fillId="21" borderId="0" applyNumberFormat="0" applyBorder="0" applyAlignment="0" applyProtection="0">
      <alignment vertical="center"/>
    </xf>
    <xf numFmtId="0" fontId="8" fillId="22" borderId="2" applyNumberFormat="0" applyFont="0" applyAlignment="0" applyProtection="0">
      <alignment vertical="center"/>
    </xf>
    <xf numFmtId="0" fontId="26" fillId="0" borderId="3" applyNumberFormat="0" applyFill="0" applyAlignment="0" applyProtection="0">
      <alignment vertical="center"/>
    </xf>
    <xf numFmtId="0" fontId="27" fillId="3" borderId="0" applyNumberFormat="0" applyBorder="0" applyAlignment="0" applyProtection="0">
      <alignment vertical="center"/>
    </xf>
    <xf numFmtId="0" fontId="28" fillId="23" borderId="4" applyNumberFormat="0" applyAlignment="0" applyProtection="0">
      <alignment vertical="center"/>
    </xf>
    <xf numFmtId="0" fontId="29" fillId="0" borderId="0" applyNumberFormat="0" applyFill="0" applyBorder="0" applyAlignment="0" applyProtection="0">
      <alignment vertical="center"/>
    </xf>
    <xf numFmtId="0" fontId="38" fillId="0" borderId="5" applyNumberFormat="0" applyFill="0" applyAlignment="0" applyProtection="0">
      <alignment vertical="center"/>
    </xf>
    <xf numFmtId="0" fontId="37" fillId="0" borderId="6" applyNumberFormat="0" applyFill="0" applyAlignment="0" applyProtection="0">
      <alignment vertical="center"/>
    </xf>
    <xf numFmtId="0" fontId="36" fillId="0" borderId="7" applyNumberFormat="0" applyFill="0" applyAlignment="0" applyProtection="0">
      <alignment vertical="center"/>
    </xf>
    <xf numFmtId="0" fontId="36" fillId="0" borderId="0" applyNumberFormat="0" applyFill="0" applyBorder="0" applyAlignment="0" applyProtection="0">
      <alignment vertical="center"/>
    </xf>
    <xf numFmtId="0" fontId="30" fillId="0" borderId="8" applyNumberFormat="0" applyFill="0" applyAlignment="0" applyProtection="0">
      <alignment vertical="center"/>
    </xf>
    <xf numFmtId="0" fontId="31" fillId="23" borderId="9" applyNumberFormat="0" applyAlignment="0" applyProtection="0">
      <alignment vertical="center"/>
    </xf>
    <xf numFmtId="0" fontId="32" fillId="0" borderId="0" applyNumberFormat="0" applyFill="0" applyBorder="0" applyAlignment="0" applyProtection="0">
      <alignment vertical="center"/>
    </xf>
    <xf numFmtId="0" fontId="33" fillId="7" borderId="4" applyNumberFormat="0" applyAlignment="0" applyProtection="0">
      <alignment vertical="center"/>
    </xf>
    <xf numFmtId="0" fontId="41" fillId="0" borderId="0">
      <alignment vertical="center"/>
    </xf>
    <xf numFmtId="0" fontId="16" fillId="0" borderId="0"/>
    <xf numFmtId="0" fontId="8" fillId="0" borderId="0"/>
    <xf numFmtId="0" fontId="35" fillId="0" borderId="0"/>
    <xf numFmtId="0" fontId="34" fillId="4" borderId="0" applyNumberFormat="0" applyBorder="0" applyAlignment="0" applyProtection="0">
      <alignment vertical="center"/>
    </xf>
    <xf numFmtId="38" fontId="41" fillId="0" borderId="0" applyFont="0" applyFill="0" applyBorder="0" applyAlignment="0" applyProtection="0">
      <alignment vertical="center"/>
    </xf>
    <xf numFmtId="0" fontId="2" fillId="0" borderId="0">
      <alignment vertical="center"/>
    </xf>
    <xf numFmtId="0" fontId="1" fillId="0" borderId="0">
      <alignment vertical="center"/>
    </xf>
    <xf numFmtId="0" fontId="80" fillId="0" borderId="0">
      <alignment vertical="center"/>
    </xf>
    <xf numFmtId="0" fontId="79" fillId="0" borderId="0">
      <alignment vertical="center"/>
    </xf>
  </cellStyleXfs>
  <cellXfs count="688">
    <xf numFmtId="0" fontId="0" fillId="0" borderId="0" xfId="0">
      <alignment vertical="center"/>
    </xf>
    <xf numFmtId="0" fontId="8" fillId="0" borderId="0" xfId="0" applyFont="1" applyAlignment="1"/>
    <xf numFmtId="0" fontId="10" fillId="0" borderId="0" xfId="0" applyFont="1" applyAlignment="1"/>
    <xf numFmtId="176" fontId="14" fillId="0" borderId="15" xfId="0" applyNumberFormat="1" applyFont="1" applyBorder="1" applyAlignment="1">
      <alignment horizontal="center"/>
    </xf>
    <xf numFmtId="0" fontId="0" fillId="0" borderId="16" xfId="0" applyBorder="1" applyAlignment="1">
      <alignment horizontal="center"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19" xfId="0" applyBorder="1" applyAlignment="1">
      <alignment horizontal="center" vertical="center"/>
    </xf>
    <xf numFmtId="0" fontId="0" fillId="0" borderId="18" xfId="0" applyBorder="1" applyAlignment="1">
      <alignment horizontal="center" vertical="center"/>
    </xf>
    <xf numFmtId="176" fontId="14" fillId="0" borderId="0" xfId="0" applyNumberFormat="1" applyFont="1" applyAlignment="1">
      <alignment horizontal="center"/>
    </xf>
    <xf numFmtId="0" fontId="0" fillId="0" borderId="21" xfId="0" applyBorder="1">
      <alignment vertical="center"/>
    </xf>
    <xf numFmtId="0" fontId="0" fillId="0" borderId="22" xfId="0" applyBorder="1">
      <alignment vertical="center"/>
    </xf>
    <xf numFmtId="0" fontId="4" fillId="0" borderId="16" xfId="0" applyFont="1" applyBorder="1" applyAlignment="1">
      <alignment horizontal="center"/>
    </xf>
    <xf numFmtId="0" fontId="10" fillId="0" borderId="18" xfId="0" applyFont="1" applyBorder="1" applyAlignment="1">
      <alignment horizontal="center"/>
    </xf>
    <xf numFmtId="0" fontId="0" fillId="0" borderId="20" xfId="0" applyBorder="1" applyAlignment="1">
      <alignment horizontal="center" vertical="center"/>
    </xf>
    <xf numFmtId="0" fontId="14" fillId="0" borderId="18" xfId="0" applyFont="1" applyBorder="1" applyAlignment="1">
      <alignment horizontal="center"/>
    </xf>
    <xf numFmtId="180" fontId="4" fillId="0" borderId="18" xfId="0" applyNumberFormat="1" applyFont="1" applyBorder="1" applyAlignment="1">
      <alignment horizontal="center" vertical="center"/>
    </xf>
    <xf numFmtId="180" fontId="4" fillId="0" borderId="19" xfId="0" applyNumberFormat="1" applyFont="1" applyBorder="1" applyAlignment="1">
      <alignment horizontal="center" vertical="center"/>
    </xf>
    <xf numFmtId="0" fontId="10" fillId="0" borderId="14" xfId="0" applyFont="1" applyBorder="1" applyAlignment="1">
      <alignment horizontal="center"/>
    </xf>
    <xf numFmtId="0" fontId="0" fillId="0" borderId="14" xfId="0" applyBorder="1">
      <alignment vertical="center"/>
    </xf>
    <xf numFmtId="0" fontId="8" fillId="0" borderId="31" xfId="0" applyFont="1" applyBorder="1" applyAlignment="1">
      <alignment horizontal="center"/>
    </xf>
    <xf numFmtId="0" fontId="0" fillId="0" borderId="46" xfId="0" applyBorder="1" applyAlignment="1">
      <alignment horizontal="center" vertical="center"/>
    </xf>
    <xf numFmtId="0" fontId="0" fillId="0" borderId="33" xfId="0" applyBorder="1">
      <alignment vertical="center"/>
    </xf>
    <xf numFmtId="0" fontId="0" fillId="0" borderId="0" xfId="0" applyAlignment="1">
      <alignment horizontal="center" vertical="center"/>
    </xf>
    <xf numFmtId="56" fontId="4" fillId="0" borderId="20" xfId="0" applyNumberFormat="1" applyFont="1" applyBorder="1" applyAlignment="1">
      <alignment horizontal="right" vertical="center"/>
    </xf>
    <xf numFmtId="0" fontId="14" fillId="0" borderId="20" xfId="0" applyFont="1" applyBorder="1" applyAlignment="1">
      <alignment horizontal="center"/>
    </xf>
    <xf numFmtId="0" fontId="0" fillId="0" borderId="32" xfId="0" applyBorder="1" applyAlignment="1">
      <alignment horizontal="center" vertical="center"/>
    </xf>
    <xf numFmtId="0" fontId="0" fillId="0" borderId="48" xfId="0" applyBorder="1">
      <alignment vertical="center"/>
    </xf>
    <xf numFmtId="0" fontId="45" fillId="0" borderId="0" xfId="0" applyFont="1">
      <alignment vertical="center"/>
    </xf>
    <xf numFmtId="0" fontId="17" fillId="0" borderId="0" xfId="0" applyFont="1" applyAlignment="1"/>
    <xf numFmtId="0" fontId="10" fillId="0" borderId="0" xfId="0" applyFont="1" applyAlignment="1">
      <alignment horizontal="center"/>
    </xf>
    <xf numFmtId="0" fontId="10" fillId="0" borderId="0" xfId="0" applyFont="1" applyAlignment="1">
      <alignment shrinkToFit="1"/>
    </xf>
    <xf numFmtId="56" fontId="10" fillId="0" borderId="58" xfId="0" applyNumberFormat="1" applyFont="1" applyBorder="1" applyAlignment="1">
      <alignment vertical="center" shrinkToFit="1"/>
    </xf>
    <xf numFmtId="183" fontId="10" fillId="0" borderId="59" xfId="0" applyNumberFormat="1" applyFont="1" applyBorder="1" applyAlignment="1">
      <alignment vertical="center" shrinkToFit="1"/>
    </xf>
    <xf numFmtId="183" fontId="10" fillId="0" borderId="60" xfId="0" applyNumberFormat="1" applyFont="1" applyBorder="1" applyAlignment="1">
      <alignment vertical="center" shrinkToFit="1"/>
    </xf>
    <xf numFmtId="0" fontId="8" fillId="0" borderId="61" xfId="0" applyFont="1" applyBorder="1" applyAlignment="1">
      <alignment horizontal="center" vertical="center" shrinkToFit="1"/>
    </xf>
    <xf numFmtId="0" fontId="10" fillId="0" borderId="62" xfId="0" applyFont="1" applyBorder="1" applyAlignment="1">
      <alignment horizontal="center" vertical="center" shrinkToFit="1"/>
    </xf>
    <xf numFmtId="176" fontId="8" fillId="0" borderId="63" xfId="0" applyNumberFormat="1" applyFont="1" applyBorder="1" applyAlignment="1">
      <alignment horizontal="center" vertical="center" shrinkToFit="1"/>
    </xf>
    <xf numFmtId="0" fontId="8" fillId="0" borderId="64" xfId="0" applyFont="1" applyBorder="1" applyAlignment="1">
      <alignment horizontal="center" vertical="center" shrinkToFit="1"/>
    </xf>
    <xf numFmtId="0" fontId="8" fillId="0" borderId="65" xfId="0" applyFont="1" applyBorder="1" applyAlignment="1">
      <alignment horizontal="center" vertical="center" shrinkToFit="1"/>
    </xf>
    <xf numFmtId="176" fontId="8" fillId="0" borderId="66" xfId="0" applyNumberFormat="1" applyFont="1" applyBorder="1" applyAlignment="1">
      <alignment horizontal="center" vertical="center" shrinkToFit="1"/>
    </xf>
    <xf numFmtId="0" fontId="8" fillId="0" borderId="67" xfId="0" applyFont="1" applyBorder="1" applyAlignment="1">
      <alignment horizontal="center" vertical="center" shrinkToFit="1"/>
    </xf>
    <xf numFmtId="0" fontId="8" fillId="0" borderId="68" xfId="0" applyFont="1" applyBorder="1" applyAlignment="1">
      <alignment horizontal="center" vertical="center" shrinkToFit="1"/>
    </xf>
    <xf numFmtId="0" fontId="8" fillId="0" borderId="69" xfId="0" applyFont="1" applyBorder="1" applyAlignment="1">
      <alignment horizontal="center" vertical="center" shrinkToFit="1"/>
    </xf>
    <xf numFmtId="176" fontId="8" fillId="0" borderId="67" xfId="0" applyNumberFormat="1" applyFont="1" applyBorder="1" applyAlignment="1">
      <alignment horizontal="center" vertical="center" shrinkToFit="1"/>
    </xf>
    <xf numFmtId="176" fontId="8" fillId="0" borderId="69" xfId="0" applyNumberFormat="1" applyFont="1" applyBorder="1" applyAlignment="1">
      <alignment horizontal="center" vertical="center" shrinkToFit="1"/>
    </xf>
    <xf numFmtId="176" fontId="8" fillId="0" borderId="70" xfId="0" applyNumberFormat="1" applyFont="1" applyBorder="1" applyAlignment="1">
      <alignment horizontal="center" vertical="center" shrinkToFit="1"/>
    </xf>
    <xf numFmtId="176" fontId="8" fillId="0" borderId="71" xfId="0" applyNumberFormat="1" applyFont="1" applyBorder="1" applyAlignment="1">
      <alignment horizontal="center" vertical="center" shrinkToFit="1"/>
    </xf>
    <xf numFmtId="0" fontId="8" fillId="0" borderId="72" xfId="0" applyFont="1" applyBorder="1" applyAlignment="1">
      <alignment horizontal="center" vertical="center" shrinkToFit="1"/>
    </xf>
    <xf numFmtId="176" fontId="8" fillId="0" borderId="73" xfId="0" applyNumberFormat="1" applyFont="1" applyBorder="1" applyAlignment="1">
      <alignment horizontal="center" vertical="center" shrinkToFit="1"/>
    </xf>
    <xf numFmtId="176" fontId="8" fillId="0" borderId="74" xfId="0" applyNumberFormat="1" applyFont="1" applyBorder="1" applyAlignment="1">
      <alignment horizontal="center" vertical="center" shrinkToFit="1"/>
    </xf>
    <xf numFmtId="0" fontId="8" fillId="0" borderId="75" xfId="0" applyFont="1" applyBorder="1" applyAlignment="1">
      <alignment horizontal="center" vertical="center" shrinkToFit="1"/>
    </xf>
    <xf numFmtId="176" fontId="8" fillId="0" borderId="76" xfId="0" applyNumberFormat="1" applyFont="1" applyBorder="1" applyAlignment="1">
      <alignment horizontal="center" vertical="center" shrinkToFit="1"/>
    </xf>
    <xf numFmtId="0" fontId="8" fillId="0" borderId="0" xfId="0" applyFont="1" applyAlignment="1">
      <alignment shrinkToFit="1"/>
    </xf>
    <xf numFmtId="176" fontId="8" fillId="0" borderId="0" xfId="0" applyNumberFormat="1" applyFont="1" applyAlignment="1">
      <alignment horizontal="center" vertical="center" shrinkToFit="1"/>
    </xf>
    <xf numFmtId="0" fontId="8" fillId="0" borderId="0" xfId="0" applyFont="1" applyAlignment="1">
      <alignment horizontal="center" vertical="center" shrinkToFit="1"/>
    </xf>
    <xf numFmtId="0" fontId="0" fillId="0" borderId="0" xfId="0" applyAlignment="1"/>
    <xf numFmtId="14" fontId="0" fillId="0" borderId="14" xfId="0" applyNumberFormat="1" applyBorder="1" applyAlignment="1"/>
    <xf numFmtId="14" fontId="0" fillId="0" borderId="0" xfId="0" applyNumberFormat="1" applyAlignment="1"/>
    <xf numFmtId="56" fontId="9" fillId="0" borderId="58" xfId="0" applyNumberFormat="1" applyFont="1" applyBorder="1" applyAlignment="1">
      <alignment vertical="center" shrinkToFit="1"/>
    </xf>
    <xf numFmtId="0" fontId="0" fillId="0" borderId="15" xfId="0" applyBorder="1" applyAlignment="1"/>
    <xf numFmtId="0" fontId="0" fillId="0" borderId="32" xfId="0" applyBorder="1" applyAlignment="1"/>
    <xf numFmtId="0" fontId="0" fillId="0" borderId="16" xfId="0" applyBorder="1" applyAlignment="1"/>
    <xf numFmtId="0" fontId="0" fillId="0" borderId="22" xfId="0" applyBorder="1" applyAlignment="1"/>
    <xf numFmtId="14" fontId="0" fillId="0" borderId="33" xfId="0" applyNumberFormat="1" applyBorder="1" applyAlignment="1"/>
    <xf numFmtId="0" fontId="19" fillId="0" borderId="0" xfId="0" applyFont="1" applyAlignment="1">
      <alignment horizontal="right" vertical="center"/>
    </xf>
    <xf numFmtId="31" fontId="20" fillId="0" borderId="0" xfId="0" applyNumberFormat="1" applyFont="1" applyAlignment="1">
      <alignment horizontal="right" vertical="center"/>
    </xf>
    <xf numFmtId="0" fontId="46" fillId="0" borderId="0" xfId="0" applyFont="1">
      <alignment vertical="center"/>
    </xf>
    <xf numFmtId="0" fontId="19" fillId="0" borderId="0" xfId="0" applyFont="1" applyAlignment="1">
      <alignment horizontal="center" vertical="center"/>
    </xf>
    <xf numFmtId="0" fontId="19" fillId="0" borderId="91" xfId="0" applyFont="1" applyBorder="1" applyAlignment="1">
      <alignment horizontal="center" vertical="center"/>
    </xf>
    <xf numFmtId="0" fontId="46" fillId="0" borderId="0" xfId="0" applyFont="1" applyAlignment="1">
      <alignment horizontal="center" vertical="center"/>
    </xf>
    <xf numFmtId="0" fontId="46" fillId="0" borderId="14" xfId="0" applyFont="1" applyBorder="1" applyAlignment="1">
      <alignment horizontal="center" vertical="center"/>
    </xf>
    <xf numFmtId="0" fontId="46" fillId="24" borderId="61" xfId="0" applyFont="1" applyFill="1" applyBorder="1" applyAlignment="1">
      <alignment horizontal="right" vertical="center"/>
    </xf>
    <xf numFmtId="0" fontId="46" fillId="25" borderId="14" xfId="0" applyFont="1" applyFill="1" applyBorder="1" applyAlignment="1">
      <alignment horizontal="left" vertical="center"/>
    </xf>
    <xf numFmtId="0" fontId="46" fillId="0" borderId="0" xfId="0" applyFont="1" applyAlignment="1">
      <alignment horizontal="right" vertical="center"/>
    </xf>
    <xf numFmtId="0" fontId="20" fillId="0" borderId="0" xfId="0" applyFont="1" applyAlignment="1">
      <alignment horizontal="left" vertical="center"/>
    </xf>
    <xf numFmtId="0" fontId="46" fillId="0" borderId="0" xfId="0" applyFont="1" applyAlignment="1">
      <alignment horizontal="left" vertical="center"/>
    </xf>
    <xf numFmtId="183" fontId="22" fillId="0" borderId="59" xfId="0" applyNumberFormat="1" applyFont="1" applyBorder="1" applyAlignment="1">
      <alignment vertical="center" wrapText="1" shrinkToFit="1"/>
    </xf>
    <xf numFmtId="0" fontId="0" fillId="0" borderId="14" xfId="0" applyBorder="1" applyAlignment="1">
      <alignment horizontal="left" vertical="center"/>
    </xf>
    <xf numFmtId="0" fontId="0" fillId="25" borderId="14" xfId="0" applyFill="1" applyBorder="1" applyAlignment="1">
      <alignment horizontal="left" vertical="center"/>
    </xf>
    <xf numFmtId="0" fontId="0" fillId="25" borderId="33" xfId="0" applyFill="1" applyBorder="1" applyAlignment="1">
      <alignment horizontal="left" vertical="center"/>
    </xf>
    <xf numFmtId="56" fontId="4" fillId="0" borderId="0" xfId="0" applyNumberFormat="1" applyFont="1" applyAlignment="1">
      <alignment horizontal="right" vertical="center"/>
    </xf>
    <xf numFmtId="0" fontId="8" fillId="0" borderId="93" xfId="0" applyFont="1" applyBorder="1" applyAlignment="1">
      <alignment horizontal="center" vertical="center" shrinkToFit="1"/>
    </xf>
    <xf numFmtId="176" fontId="8" fillId="0" borderId="93" xfId="0" applyNumberFormat="1" applyFont="1" applyBorder="1" applyAlignment="1">
      <alignment horizontal="center" vertical="center" shrinkToFit="1"/>
    </xf>
    <xf numFmtId="176" fontId="8" fillId="0" borderId="94" xfId="0" applyNumberFormat="1" applyFont="1" applyBorder="1" applyAlignment="1">
      <alignment horizontal="center" vertical="center" shrinkToFit="1"/>
    </xf>
    <xf numFmtId="0" fontId="0" fillId="25" borderId="14" xfId="0" applyFill="1" applyBorder="1" applyAlignment="1"/>
    <xf numFmtId="0" fontId="0" fillId="25" borderId="33" xfId="0" applyFill="1" applyBorder="1" applyAlignment="1"/>
    <xf numFmtId="0" fontId="0" fillId="0" borderId="98" xfId="0" applyBorder="1" applyAlignment="1"/>
    <xf numFmtId="20" fontId="0" fillId="0" borderId="99" xfId="0" applyNumberFormat="1" applyBorder="1" applyAlignment="1"/>
    <xf numFmtId="0" fontId="0" fillId="0" borderId="14" xfId="0" applyBorder="1" applyAlignment="1"/>
    <xf numFmtId="20" fontId="0" fillId="0" borderId="14" xfId="0" applyNumberFormat="1" applyBorder="1">
      <alignment vertical="center"/>
    </xf>
    <xf numFmtId="14" fontId="46" fillId="24" borderId="96" xfId="0" applyNumberFormat="1" applyFont="1" applyFill="1" applyBorder="1" applyAlignment="1">
      <alignment horizontal="left" vertical="center"/>
    </xf>
    <xf numFmtId="0" fontId="48" fillId="24" borderId="0" xfId="0" applyFont="1" applyFill="1" applyAlignment="1"/>
    <xf numFmtId="55" fontId="48" fillId="24" borderId="0" xfId="0" applyNumberFormat="1" applyFont="1" applyFill="1" applyAlignment="1"/>
    <xf numFmtId="49" fontId="49" fillId="24" borderId="0" xfId="0" applyNumberFormat="1" applyFont="1" applyFill="1" applyAlignment="1">
      <alignment horizontal="center" vertical="top"/>
    </xf>
    <xf numFmtId="49" fontId="49" fillId="24" borderId="0" xfId="0" applyNumberFormat="1" applyFont="1" applyFill="1" applyAlignment="1">
      <alignment vertical="top"/>
    </xf>
    <xf numFmtId="55" fontId="50" fillId="24" borderId="0" xfId="0" applyNumberFormat="1" applyFont="1" applyFill="1" applyAlignment="1">
      <alignment horizontal="center" vertical="top"/>
    </xf>
    <xf numFmtId="0" fontId="51" fillId="24" borderId="0" xfId="0" applyFont="1" applyFill="1" applyAlignment="1"/>
    <xf numFmtId="0" fontId="52" fillId="26" borderId="15" xfId="0" applyFont="1" applyFill="1" applyBorder="1" applyAlignment="1">
      <alignment horizontal="center" vertical="center"/>
    </xf>
    <xf numFmtId="0" fontId="52" fillId="24" borderId="32" xfId="0" applyFont="1" applyFill="1" applyBorder="1" applyAlignment="1">
      <alignment horizontal="center" vertical="center"/>
    </xf>
    <xf numFmtId="0" fontId="53" fillId="26" borderId="32" xfId="0" applyFont="1" applyFill="1" applyBorder="1" applyAlignment="1">
      <alignment horizontal="center" vertical="center"/>
    </xf>
    <xf numFmtId="0" fontId="54" fillId="24" borderId="0" xfId="0" applyFont="1" applyFill="1">
      <alignment vertical="center"/>
    </xf>
    <xf numFmtId="0" fontId="49" fillId="24" borderId="0" xfId="0" applyFont="1" applyFill="1" applyAlignment="1">
      <alignment horizontal="center"/>
    </xf>
    <xf numFmtId="0" fontId="55" fillId="26" borderId="22" xfId="0" applyFont="1" applyFill="1" applyBorder="1" applyAlignment="1">
      <alignment horizontal="center" vertical="center"/>
    </xf>
    <xf numFmtId="182" fontId="55" fillId="24" borderId="33" xfId="0" applyNumberFormat="1" applyFont="1" applyFill="1" applyBorder="1" applyAlignment="1">
      <alignment horizontal="center" vertical="center"/>
    </xf>
    <xf numFmtId="0" fontId="55" fillId="26" borderId="33" xfId="0" applyFont="1" applyFill="1" applyBorder="1" applyAlignment="1">
      <alignment horizontal="center" vertical="center"/>
    </xf>
    <xf numFmtId="0" fontId="52" fillId="24" borderId="34" xfId="0" applyFont="1" applyFill="1" applyBorder="1" applyAlignment="1">
      <alignment horizontal="right" vertical="center"/>
    </xf>
    <xf numFmtId="0" fontId="52" fillId="24" borderId="35" xfId="0" applyFont="1" applyFill="1" applyBorder="1" applyAlignment="1">
      <alignment horizontal="left" vertical="center"/>
    </xf>
    <xf numFmtId="0" fontId="55" fillId="24" borderId="30" xfId="0" applyFont="1" applyFill="1" applyBorder="1" applyAlignment="1">
      <alignment horizontal="left"/>
    </xf>
    <xf numFmtId="0" fontId="55" fillId="24" borderId="31" xfId="0" applyFont="1" applyFill="1" applyBorder="1" applyAlignment="1">
      <alignment horizontal="center"/>
    </xf>
    <xf numFmtId="0" fontId="53" fillId="24" borderId="31" xfId="0" applyFont="1" applyFill="1" applyBorder="1" applyAlignment="1">
      <alignment horizontal="left"/>
    </xf>
    <xf numFmtId="0" fontId="58" fillId="24" borderId="23" xfId="0" applyFont="1" applyFill="1" applyBorder="1" applyAlignment="1"/>
    <xf numFmtId="0" fontId="58" fillId="24" borderId="24" xfId="0" applyFont="1" applyFill="1" applyBorder="1" applyAlignment="1">
      <alignment horizontal="center"/>
    </xf>
    <xf numFmtId="0" fontId="58" fillId="24" borderId="24" xfId="0" applyFont="1" applyFill="1" applyBorder="1" applyAlignment="1"/>
    <xf numFmtId="0" fontId="58" fillId="24" borderId="24" xfId="0" applyFont="1" applyFill="1" applyBorder="1" applyAlignment="1">
      <alignment horizontal="right"/>
    </xf>
    <xf numFmtId="0" fontId="58" fillId="24" borderId="29" xfId="0" applyFont="1" applyFill="1" applyBorder="1" applyAlignment="1">
      <alignment horizontal="center"/>
    </xf>
    <xf numFmtId="0" fontId="59" fillId="24" borderId="90" xfId="0" applyFont="1" applyFill="1" applyBorder="1" applyAlignment="1"/>
    <xf numFmtId="0" fontId="60" fillId="24" borderId="25" xfId="0" applyFont="1" applyFill="1" applyBorder="1" applyAlignment="1"/>
    <xf numFmtId="0" fontId="60" fillId="24" borderId="36" xfId="0" quotePrefix="1" applyFont="1" applyFill="1" applyBorder="1" applyAlignment="1">
      <alignment horizontal="center"/>
    </xf>
    <xf numFmtId="176" fontId="60" fillId="24" borderId="10" xfId="0" applyNumberFormat="1" applyFont="1" applyFill="1" applyBorder="1" applyAlignment="1"/>
    <xf numFmtId="0" fontId="60" fillId="24" borderId="10" xfId="0" applyFont="1" applyFill="1" applyBorder="1" applyAlignment="1">
      <alignment horizontal="left"/>
    </xf>
    <xf numFmtId="0" fontId="60" fillId="24" borderId="10" xfId="0" applyFont="1" applyFill="1" applyBorder="1" applyAlignment="1">
      <alignment horizontal="center"/>
    </xf>
    <xf numFmtId="21" fontId="60" fillId="24" borderId="10" xfId="0" applyNumberFormat="1" applyFont="1" applyFill="1" applyBorder="1" applyAlignment="1">
      <alignment horizontal="center"/>
    </xf>
    <xf numFmtId="178" fontId="60" fillId="24" borderId="10" xfId="0" applyNumberFormat="1" applyFont="1" applyFill="1" applyBorder="1" applyAlignment="1">
      <alignment horizontal="right"/>
    </xf>
    <xf numFmtId="176" fontId="60" fillId="24" borderId="10" xfId="0" applyNumberFormat="1" applyFont="1" applyFill="1" applyBorder="1" applyAlignment="1">
      <alignment horizontal="right"/>
    </xf>
    <xf numFmtId="179" fontId="60" fillId="24" borderId="10" xfId="0" applyNumberFormat="1" applyFont="1" applyFill="1" applyBorder="1" applyAlignment="1"/>
    <xf numFmtId="177" fontId="60" fillId="24" borderId="10" xfId="0" applyNumberFormat="1" applyFont="1" applyFill="1" applyBorder="1" applyAlignment="1"/>
    <xf numFmtId="181" fontId="60" fillId="24" borderId="10" xfId="0" applyNumberFormat="1" applyFont="1" applyFill="1" applyBorder="1" applyAlignment="1">
      <alignment horizontal="right" vertical="top"/>
    </xf>
    <xf numFmtId="0" fontId="60" fillId="24" borderId="26" xfId="0" applyFont="1" applyFill="1" applyBorder="1" applyAlignment="1"/>
    <xf numFmtId="0" fontId="60" fillId="24" borderId="37" xfId="0" quotePrefix="1" applyFont="1" applyFill="1" applyBorder="1" applyAlignment="1">
      <alignment horizontal="center"/>
    </xf>
    <xf numFmtId="176" fontId="60" fillId="24" borderId="11" xfId="0" applyNumberFormat="1" applyFont="1" applyFill="1" applyBorder="1" applyAlignment="1"/>
    <xf numFmtId="0" fontId="60" fillId="24" borderId="11" xfId="0" applyFont="1" applyFill="1" applyBorder="1" applyAlignment="1">
      <alignment horizontal="left"/>
    </xf>
    <xf numFmtId="0" fontId="60" fillId="24" borderId="11" xfId="0" applyFont="1" applyFill="1" applyBorder="1" applyAlignment="1">
      <alignment horizontal="center"/>
    </xf>
    <xf numFmtId="21" fontId="60" fillId="24" borderId="11" xfId="0" applyNumberFormat="1" applyFont="1" applyFill="1" applyBorder="1" applyAlignment="1">
      <alignment horizontal="center"/>
    </xf>
    <xf numFmtId="178" fontId="60" fillId="24" borderId="11" xfId="0" applyNumberFormat="1" applyFont="1" applyFill="1" applyBorder="1" applyAlignment="1">
      <alignment horizontal="right"/>
    </xf>
    <xf numFmtId="176" fontId="60" fillId="24" borderId="11" xfId="0" applyNumberFormat="1" applyFont="1" applyFill="1" applyBorder="1" applyAlignment="1">
      <alignment horizontal="right"/>
    </xf>
    <xf numFmtId="179" fontId="60" fillId="24" borderId="11" xfId="0" applyNumberFormat="1" applyFont="1" applyFill="1" applyBorder="1" applyAlignment="1"/>
    <xf numFmtId="177" fontId="60" fillId="24" borderId="11" xfId="0" applyNumberFormat="1" applyFont="1" applyFill="1" applyBorder="1" applyAlignment="1"/>
    <xf numFmtId="181" fontId="60" fillId="24" borderId="11" xfId="0" applyNumberFormat="1" applyFont="1" applyFill="1" applyBorder="1" applyAlignment="1">
      <alignment horizontal="right" vertical="top"/>
    </xf>
    <xf numFmtId="21" fontId="60" fillId="24" borderId="67" xfId="0" applyNumberFormat="1" applyFont="1" applyFill="1" applyBorder="1" applyAlignment="1">
      <alignment horizontal="center"/>
    </xf>
    <xf numFmtId="0" fontId="60" fillId="24" borderId="27" xfId="0" applyFont="1" applyFill="1" applyBorder="1" applyAlignment="1"/>
    <xf numFmtId="0" fontId="60" fillId="24" borderId="38" xfId="0" quotePrefix="1" applyFont="1" applyFill="1" applyBorder="1" applyAlignment="1">
      <alignment horizontal="center"/>
    </xf>
    <xf numFmtId="176" fontId="60" fillId="24" borderId="12" xfId="0" applyNumberFormat="1" applyFont="1" applyFill="1" applyBorder="1" applyAlignment="1"/>
    <xf numFmtId="0" fontId="60" fillId="24" borderId="12" xfId="0" applyFont="1" applyFill="1" applyBorder="1" applyAlignment="1">
      <alignment horizontal="left"/>
    </xf>
    <xf numFmtId="0" fontId="60" fillId="24" borderId="12" xfId="0" applyFont="1" applyFill="1" applyBorder="1" applyAlignment="1">
      <alignment horizontal="center"/>
    </xf>
    <xf numFmtId="21" fontId="60" fillId="24" borderId="12" xfId="0" applyNumberFormat="1" applyFont="1" applyFill="1" applyBorder="1" applyAlignment="1">
      <alignment horizontal="center"/>
    </xf>
    <xf numFmtId="176" fontId="60" fillId="24" borderId="49" xfId="0" applyNumberFormat="1" applyFont="1" applyFill="1" applyBorder="1" applyAlignment="1"/>
    <xf numFmtId="178" fontId="60" fillId="24" borderId="49" xfId="0" applyNumberFormat="1" applyFont="1" applyFill="1" applyBorder="1" applyAlignment="1">
      <alignment horizontal="right"/>
    </xf>
    <xf numFmtId="0" fontId="60" fillId="24" borderId="49" xfId="0" applyFont="1" applyFill="1" applyBorder="1" applyAlignment="1">
      <alignment horizontal="center"/>
    </xf>
    <xf numFmtId="176" fontId="60" fillId="24" borderId="49" xfId="0" applyNumberFormat="1" applyFont="1" applyFill="1" applyBorder="1" applyAlignment="1">
      <alignment horizontal="right"/>
    </xf>
    <xf numFmtId="21" fontId="60" fillId="24" borderId="49" xfId="0" applyNumberFormat="1" applyFont="1" applyFill="1" applyBorder="1" applyAlignment="1">
      <alignment horizontal="center"/>
    </xf>
    <xf numFmtId="179" fontId="60" fillId="24" borderId="49" xfId="0" applyNumberFormat="1" applyFont="1" applyFill="1" applyBorder="1" applyAlignment="1"/>
    <xf numFmtId="177" fontId="60" fillId="24" borderId="49" xfId="0" applyNumberFormat="1" applyFont="1" applyFill="1" applyBorder="1" applyAlignment="1"/>
    <xf numFmtId="181" fontId="60" fillId="24" borderId="49" xfId="0" applyNumberFormat="1" applyFont="1" applyFill="1" applyBorder="1" applyAlignment="1">
      <alignment horizontal="right" vertical="top"/>
    </xf>
    <xf numFmtId="21" fontId="60" fillId="24" borderId="74" xfId="0" applyNumberFormat="1" applyFont="1" applyFill="1" applyBorder="1" applyAlignment="1">
      <alignment horizontal="center"/>
    </xf>
    <xf numFmtId="0" fontId="60" fillId="24" borderId="28" xfId="0" applyFont="1" applyFill="1" applyBorder="1" applyAlignment="1"/>
    <xf numFmtId="178" fontId="60" fillId="24" borderId="12" xfId="0" applyNumberFormat="1" applyFont="1" applyFill="1" applyBorder="1" applyAlignment="1">
      <alignment horizontal="right"/>
    </xf>
    <xf numFmtId="176" fontId="60" fillId="24" borderId="12" xfId="0" applyNumberFormat="1" applyFont="1" applyFill="1" applyBorder="1" applyAlignment="1">
      <alignment horizontal="center"/>
    </xf>
    <xf numFmtId="176" fontId="60" fillId="24" borderId="12" xfId="0" applyNumberFormat="1" applyFont="1" applyFill="1" applyBorder="1" applyAlignment="1">
      <alignment horizontal="right"/>
    </xf>
    <xf numFmtId="179" fontId="60" fillId="24" borderId="12" xfId="0" applyNumberFormat="1" applyFont="1" applyFill="1" applyBorder="1" applyAlignment="1"/>
    <xf numFmtId="177" fontId="60" fillId="24" borderId="12" xfId="0" applyNumberFormat="1" applyFont="1" applyFill="1" applyBorder="1" applyAlignment="1"/>
    <xf numFmtId="181" fontId="60" fillId="24" borderId="12" xfId="0" applyNumberFormat="1" applyFont="1" applyFill="1" applyBorder="1" applyAlignment="1">
      <alignment horizontal="right" vertical="top"/>
    </xf>
    <xf numFmtId="176" fontId="60" fillId="24" borderId="13" xfId="0" applyNumberFormat="1" applyFont="1" applyFill="1" applyBorder="1" applyAlignment="1"/>
    <xf numFmtId="178" fontId="60" fillId="24" borderId="13" xfId="0" applyNumberFormat="1" applyFont="1" applyFill="1" applyBorder="1" applyAlignment="1">
      <alignment horizontal="right"/>
    </xf>
    <xf numFmtId="0" fontId="60" fillId="24" borderId="13" xfId="0" applyFont="1" applyFill="1" applyBorder="1" applyAlignment="1">
      <alignment horizontal="center"/>
    </xf>
    <xf numFmtId="176" fontId="60" fillId="24" borderId="13" xfId="0" applyNumberFormat="1" applyFont="1" applyFill="1" applyBorder="1" applyAlignment="1">
      <alignment horizontal="right"/>
    </xf>
    <xf numFmtId="21" fontId="60" fillId="24" borderId="13" xfId="0" applyNumberFormat="1" applyFont="1" applyFill="1" applyBorder="1" applyAlignment="1">
      <alignment horizontal="center"/>
    </xf>
    <xf numFmtId="179" fontId="60" fillId="24" borderId="13" xfId="0" applyNumberFormat="1" applyFont="1" applyFill="1" applyBorder="1" applyAlignment="1"/>
    <xf numFmtId="177" fontId="60" fillId="24" borderId="13" xfId="0" applyNumberFormat="1" applyFont="1" applyFill="1" applyBorder="1" applyAlignment="1"/>
    <xf numFmtId="181" fontId="60" fillId="24" borderId="13" xfId="0" applyNumberFormat="1" applyFont="1" applyFill="1" applyBorder="1" applyAlignment="1">
      <alignment horizontal="right" vertical="top"/>
    </xf>
    <xf numFmtId="0" fontId="60" fillId="24" borderId="39" xfId="0" quotePrefix="1" applyFont="1" applyFill="1" applyBorder="1" applyAlignment="1">
      <alignment horizontal="center"/>
    </xf>
    <xf numFmtId="0" fontId="60" fillId="24" borderId="40" xfId="0" applyFont="1" applyFill="1" applyBorder="1" applyAlignment="1"/>
    <xf numFmtId="21" fontId="60" fillId="24" borderId="67" xfId="0" applyNumberFormat="1" applyFont="1" applyFill="1" applyBorder="1" applyAlignment="1">
      <alignment horizontal="left"/>
    </xf>
    <xf numFmtId="180" fontId="60" fillId="24" borderId="69" xfId="0" applyNumberFormat="1" applyFont="1" applyFill="1" applyBorder="1" applyAlignment="1">
      <alignment horizontal="left"/>
    </xf>
    <xf numFmtId="180" fontId="60" fillId="24" borderId="47" xfId="0" applyNumberFormat="1" applyFont="1" applyFill="1" applyBorder="1" applyAlignment="1">
      <alignment horizontal="center"/>
    </xf>
    <xf numFmtId="0" fontId="60" fillId="24" borderId="13" xfId="0" applyFont="1" applyFill="1" applyBorder="1" applyAlignment="1">
      <alignment horizontal="left"/>
    </xf>
    <xf numFmtId="180" fontId="58" fillId="24" borderId="66" xfId="0" applyNumberFormat="1" applyFont="1" applyFill="1" applyBorder="1">
      <alignment vertical="center"/>
    </xf>
    <xf numFmtId="180" fontId="58" fillId="24" borderId="69" xfId="0" applyNumberFormat="1" applyFont="1" applyFill="1" applyBorder="1">
      <alignment vertical="center"/>
    </xf>
    <xf numFmtId="0" fontId="48" fillId="24" borderId="92" xfId="0" applyFont="1" applyFill="1" applyBorder="1" applyAlignment="1">
      <alignment vertical="top" wrapText="1"/>
    </xf>
    <xf numFmtId="0" fontId="48" fillId="24" borderId="90" xfId="0" applyFont="1" applyFill="1" applyBorder="1" applyAlignment="1">
      <alignment vertical="top" wrapText="1"/>
    </xf>
    <xf numFmtId="0" fontId="48" fillId="24" borderId="83" xfId="0" applyFont="1" applyFill="1" applyBorder="1" applyAlignment="1">
      <alignment vertical="top" wrapText="1"/>
    </xf>
    <xf numFmtId="0" fontId="60" fillId="24" borderId="0" xfId="0" applyFont="1" applyFill="1" applyAlignment="1"/>
    <xf numFmtId="0" fontId="58" fillId="24" borderId="0" xfId="0" applyFont="1" applyFill="1" applyAlignment="1"/>
    <xf numFmtId="0" fontId="54" fillId="0" borderId="0" xfId="0" applyFont="1">
      <alignment vertical="center"/>
    </xf>
    <xf numFmtId="0" fontId="48" fillId="0" borderId="0" xfId="0" applyFont="1" applyAlignment="1"/>
    <xf numFmtId="0" fontId="52" fillId="0" borderId="0" xfId="0" applyFont="1" applyAlignment="1"/>
    <xf numFmtId="0" fontId="63" fillId="0" borderId="0" xfId="0" applyFont="1">
      <alignment vertical="center"/>
    </xf>
    <xf numFmtId="0" fontId="64" fillId="0" borderId="0" xfId="0" applyFont="1" applyAlignment="1"/>
    <xf numFmtId="0" fontId="55" fillId="0" borderId="31" xfId="0" applyFont="1" applyBorder="1" applyAlignment="1">
      <alignment horizontal="center"/>
    </xf>
    <xf numFmtId="0" fontId="60" fillId="0" borderId="0" xfId="0" applyFont="1" applyAlignment="1"/>
    <xf numFmtId="0" fontId="55" fillId="0" borderId="30" xfId="0" applyFont="1" applyBorder="1" applyAlignment="1">
      <alignment horizontal="center"/>
    </xf>
    <xf numFmtId="0" fontId="55" fillId="0" borderId="42" xfId="0" applyFont="1" applyBorder="1" applyAlignment="1">
      <alignment horizontal="center"/>
    </xf>
    <xf numFmtId="0" fontId="58" fillId="0" borderId="29" xfId="0" applyFont="1" applyBorder="1" applyAlignment="1">
      <alignment horizontal="center"/>
    </xf>
    <xf numFmtId="0" fontId="58" fillId="0" borderId="0" xfId="0" applyFont="1" applyAlignment="1"/>
    <xf numFmtId="0" fontId="58" fillId="0" borderId="43" xfId="0" applyFont="1" applyBorder="1" applyAlignment="1">
      <alignment horizontal="center"/>
    </xf>
    <xf numFmtId="0" fontId="58" fillId="0" borderId="44" xfId="0" applyFont="1" applyBorder="1" applyAlignment="1">
      <alignment horizontal="center"/>
    </xf>
    <xf numFmtId="181" fontId="60" fillId="0" borderId="10" xfId="0" applyNumberFormat="1" applyFont="1" applyBorder="1" applyAlignment="1">
      <alignment horizontal="right" vertical="top"/>
    </xf>
    <xf numFmtId="185" fontId="60" fillId="0" borderId="16" xfId="0" applyNumberFormat="1" applyFont="1" applyBorder="1" applyAlignment="1"/>
    <xf numFmtId="185" fontId="60" fillId="0" borderId="14" xfId="0" applyNumberFormat="1" applyFont="1" applyBorder="1" applyAlignment="1"/>
    <xf numFmtId="185" fontId="60" fillId="0" borderId="17" xfId="0" applyNumberFormat="1" applyFont="1" applyBorder="1" applyAlignment="1"/>
    <xf numFmtId="178" fontId="60" fillId="0" borderId="45" xfId="0" applyNumberFormat="1" applyFont="1" applyBorder="1" applyAlignment="1"/>
    <xf numFmtId="181" fontId="60" fillId="0" borderId="36" xfId="0" applyNumberFormat="1" applyFont="1" applyBorder="1" applyAlignment="1">
      <alignment horizontal="right" vertical="top"/>
    </xf>
    <xf numFmtId="181" fontId="60" fillId="0" borderId="45" xfId="0" applyNumberFormat="1" applyFont="1" applyBorder="1" applyAlignment="1">
      <alignment horizontal="right"/>
    </xf>
    <xf numFmtId="185" fontId="60" fillId="0" borderId="22" xfId="0" applyNumberFormat="1" applyFont="1" applyBorder="1" applyAlignment="1"/>
    <xf numFmtId="185" fontId="60" fillId="0" borderId="33" xfId="0" applyNumberFormat="1" applyFont="1" applyBorder="1" applyAlignment="1"/>
    <xf numFmtId="185" fontId="60" fillId="0" borderId="21" xfId="0" applyNumberFormat="1" applyFont="1" applyBorder="1" applyAlignment="1"/>
    <xf numFmtId="21" fontId="58" fillId="24" borderId="67" xfId="0" applyNumberFormat="1" applyFont="1" applyFill="1" applyBorder="1" applyAlignment="1">
      <alignment horizontal="left" vertical="top"/>
    </xf>
    <xf numFmtId="176" fontId="60" fillId="24" borderId="11" xfId="0" applyNumberFormat="1" applyFont="1" applyFill="1" applyBorder="1" applyAlignment="1">
      <alignment horizontal="center"/>
    </xf>
    <xf numFmtId="21" fontId="60" fillId="24" borderId="74" xfId="0" applyNumberFormat="1" applyFont="1" applyFill="1" applyBorder="1" applyAlignment="1">
      <alignment horizontal="left"/>
    </xf>
    <xf numFmtId="181" fontId="60" fillId="0" borderId="22" xfId="0" applyNumberFormat="1" applyFont="1" applyBorder="1" applyAlignment="1">
      <alignment horizontal="right" vertical="top"/>
    </xf>
    <xf numFmtId="181" fontId="60" fillId="0" borderId="33" xfId="0" applyNumberFormat="1" applyFont="1" applyBorder="1" applyAlignment="1">
      <alignment horizontal="right" vertical="top"/>
    </xf>
    <xf numFmtId="181" fontId="60" fillId="0" borderId="21" xfId="0" applyNumberFormat="1" applyFont="1" applyBorder="1" applyAlignment="1">
      <alignment horizontal="right"/>
    </xf>
    <xf numFmtId="21" fontId="60" fillId="24" borderId="63" xfId="0" applyNumberFormat="1" applyFont="1" applyFill="1" applyBorder="1" applyAlignment="1">
      <alignment horizontal="left"/>
    </xf>
    <xf numFmtId="2" fontId="60" fillId="24" borderId="10" xfId="0" applyNumberFormat="1" applyFont="1" applyFill="1" applyBorder="1" applyAlignment="1">
      <alignment horizontal="center"/>
    </xf>
    <xf numFmtId="2" fontId="60" fillId="24" borderId="11" xfId="0" applyNumberFormat="1" applyFont="1" applyFill="1" applyBorder="1" applyAlignment="1">
      <alignment horizontal="center"/>
    </xf>
    <xf numFmtId="2" fontId="60" fillId="24" borderId="12" xfId="0" applyNumberFormat="1" applyFont="1" applyFill="1" applyBorder="1" applyAlignment="1">
      <alignment horizontal="center"/>
    </xf>
    <xf numFmtId="176" fontId="60" fillId="24" borderId="13" xfId="0" applyNumberFormat="1" applyFont="1" applyFill="1" applyBorder="1" applyAlignment="1">
      <alignment horizontal="right" vertical="center"/>
    </xf>
    <xf numFmtId="180" fontId="60" fillId="24" borderId="66" xfId="0" applyNumberFormat="1" applyFont="1" applyFill="1" applyBorder="1" applyAlignment="1">
      <alignment horizontal="left" vertical="center"/>
    </xf>
    <xf numFmtId="21" fontId="60" fillId="24" borderId="58" xfId="0" applyNumberFormat="1" applyFont="1" applyFill="1" applyBorder="1" applyAlignment="1">
      <alignment horizontal="left"/>
    </xf>
    <xf numFmtId="176" fontId="60" fillId="0" borderId="10" xfId="0" applyNumberFormat="1" applyFont="1" applyBorder="1" applyAlignment="1"/>
    <xf numFmtId="0" fontId="60" fillId="0" borderId="10" xfId="0" applyFont="1" applyBorder="1" applyAlignment="1">
      <alignment horizontal="left"/>
    </xf>
    <xf numFmtId="176" fontId="60" fillId="0" borderId="11" xfId="0" applyNumberFormat="1" applyFont="1" applyBorder="1" applyAlignment="1"/>
    <xf numFmtId="0" fontId="60" fillId="0" borderId="11" xfId="0" applyFont="1" applyBorder="1" applyAlignment="1">
      <alignment horizontal="left"/>
    </xf>
    <xf numFmtId="176" fontId="60" fillId="0" borderId="12" xfId="0" applyNumberFormat="1" applyFont="1" applyBorder="1" applyAlignment="1"/>
    <xf numFmtId="0" fontId="60" fillId="0" borderId="12" xfId="0" applyFont="1" applyBorder="1" applyAlignment="1">
      <alignment horizontal="left"/>
    </xf>
    <xf numFmtId="176" fontId="60" fillId="0" borderId="13" xfId="0" applyNumberFormat="1" applyFont="1" applyBorder="1" applyAlignment="1"/>
    <xf numFmtId="176" fontId="60" fillId="0" borderId="11" xfId="0" applyNumberFormat="1" applyFont="1" applyBorder="1" applyAlignment="1">
      <alignment horizontal="right" vertical="center"/>
    </xf>
    <xf numFmtId="0" fontId="60" fillId="0" borderId="13" xfId="0" applyFont="1" applyBorder="1" applyAlignment="1">
      <alignment horizontal="left"/>
    </xf>
    <xf numFmtId="56" fontId="55" fillId="24" borderId="32" xfId="0" applyNumberFormat="1" applyFont="1" applyFill="1" applyBorder="1" applyAlignment="1">
      <alignment horizontal="right" vertical="center"/>
    </xf>
    <xf numFmtId="180" fontId="55" fillId="24" borderId="41" xfId="0" applyNumberFormat="1" applyFont="1" applyFill="1" applyBorder="1" applyAlignment="1">
      <alignment horizontal="center" vertical="center"/>
    </xf>
    <xf numFmtId="0" fontId="52" fillId="0" borderId="0" xfId="0" applyFont="1" applyAlignment="1">
      <alignment horizontal="center" vertical="center"/>
    </xf>
    <xf numFmtId="0" fontId="52" fillId="0" borderId="0" xfId="0" applyFont="1">
      <alignment vertical="center"/>
    </xf>
    <xf numFmtId="0" fontId="49" fillId="0" borderId="0" xfId="0" applyFont="1" applyAlignment="1">
      <alignment horizontal="center" vertical="center"/>
    </xf>
    <xf numFmtId="0" fontId="49" fillId="0" borderId="0" xfId="0" applyFont="1">
      <alignment vertical="center"/>
    </xf>
    <xf numFmtId="0" fontId="65" fillId="0" borderId="0" xfId="0" applyFont="1" applyAlignment="1"/>
    <xf numFmtId="0" fontId="58" fillId="0" borderId="0" xfId="0" applyFont="1" applyAlignment="1">
      <alignment horizontal="right" vertical="center" shrinkToFit="1"/>
    </xf>
    <xf numFmtId="0" fontId="58" fillId="0" borderId="0" xfId="0" applyFont="1" applyAlignment="1">
      <alignment vertical="center" shrinkToFit="1"/>
    </xf>
    <xf numFmtId="176" fontId="61" fillId="24" borderId="31" xfId="0" applyNumberFormat="1" applyFont="1" applyFill="1" applyBorder="1" applyAlignment="1">
      <alignment horizontal="center" vertical="center"/>
    </xf>
    <xf numFmtId="176" fontId="61" fillId="24" borderId="89" xfId="0" applyNumberFormat="1" applyFont="1" applyFill="1" applyBorder="1" applyAlignment="1">
      <alignment horizontal="center" vertical="center"/>
    </xf>
    <xf numFmtId="0" fontId="54" fillId="0" borderId="0" xfId="0" applyFont="1" applyAlignment="1"/>
    <xf numFmtId="0" fontId="66" fillId="0" borderId="0" xfId="0" applyFont="1" applyAlignment="1"/>
    <xf numFmtId="184" fontId="58" fillId="24" borderId="24" xfId="0" applyNumberFormat="1" applyFont="1" applyFill="1" applyBorder="1" applyAlignment="1">
      <alignment horizontal="center" vertical="center"/>
    </xf>
    <xf numFmtId="183" fontId="61" fillId="24" borderId="24" xfId="0" applyNumberFormat="1" applyFont="1" applyFill="1" applyBorder="1" applyAlignment="1">
      <alignment horizontal="center" vertical="center" wrapText="1"/>
    </xf>
    <xf numFmtId="0" fontId="60" fillId="0" borderId="77" xfId="0" applyFont="1" applyBorder="1" applyAlignment="1">
      <alignment horizontal="center" vertical="center" wrapText="1"/>
    </xf>
    <xf numFmtId="0" fontId="58" fillId="0" borderId="14" xfId="0" applyFont="1" applyBorder="1" applyAlignment="1">
      <alignment horizontal="center" vertical="center" shrinkToFit="1"/>
    </xf>
    <xf numFmtId="0" fontId="58" fillId="0" borderId="0" xfId="0" applyFont="1" applyAlignment="1">
      <alignment horizontal="center"/>
    </xf>
    <xf numFmtId="176" fontId="58" fillId="0" borderId="36" xfId="0" quotePrefix="1" applyNumberFormat="1" applyFont="1" applyBorder="1" applyAlignment="1">
      <alignment horizontal="center"/>
    </xf>
    <xf numFmtId="179" fontId="60" fillId="0" borderId="10" xfId="0" quotePrefix="1" applyNumberFormat="1" applyFont="1" applyBorder="1" applyAlignment="1">
      <alignment horizontal="right"/>
    </xf>
    <xf numFmtId="179" fontId="60" fillId="0" borderId="10" xfId="0" quotePrefix="1" applyNumberFormat="1" applyFont="1" applyBorder="1" applyAlignment="1"/>
    <xf numFmtId="179" fontId="60" fillId="0" borderId="10" xfId="0" applyNumberFormat="1" applyFont="1" applyBorder="1" applyAlignment="1"/>
    <xf numFmtId="0" fontId="58" fillId="0" borderId="10" xfId="0" applyFont="1" applyBorder="1" applyAlignment="1">
      <alignment horizontal="center"/>
    </xf>
    <xf numFmtId="0" fontId="58" fillId="0" borderId="78" xfId="0" applyFont="1" applyBorder="1" applyAlignment="1">
      <alignment horizontal="center"/>
    </xf>
    <xf numFmtId="179" fontId="60" fillId="0" borderId="0" xfId="0" applyNumberFormat="1" applyFont="1" applyAlignment="1">
      <alignment horizontal="center"/>
    </xf>
    <xf numFmtId="182" fontId="60" fillId="0" borderId="11" xfId="0" applyNumberFormat="1" applyFont="1" applyBorder="1" applyAlignment="1">
      <alignment horizontal="right" shrinkToFit="1"/>
    </xf>
    <xf numFmtId="176" fontId="58" fillId="0" borderId="37" xfId="0" quotePrefix="1" applyNumberFormat="1" applyFont="1" applyBorder="1" applyAlignment="1">
      <alignment horizontal="center"/>
    </xf>
    <xf numFmtId="179" fontId="60" fillId="0" borderId="11" xfId="0" quotePrefix="1" applyNumberFormat="1" applyFont="1" applyBorder="1" applyAlignment="1">
      <alignment horizontal="right"/>
    </xf>
    <xf numFmtId="179" fontId="60" fillId="0" borderId="11" xfId="0" applyNumberFormat="1" applyFont="1" applyBorder="1" applyAlignment="1"/>
    <xf numFmtId="0" fontId="58" fillId="0" borderId="11" xfId="0" applyFont="1" applyBorder="1" applyAlignment="1">
      <alignment horizontal="center"/>
    </xf>
    <xf numFmtId="0" fontId="58" fillId="0" borderId="79" xfId="0" applyFont="1" applyBorder="1" applyAlignment="1">
      <alignment horizontal="center"/>
    </xf>
    <xf numFmtId="179" fontId="60" fillId="0" borderId="0" xfId="0" quotePrefix="1" applyNumberFormat="1" applyFont="1" applyAlignment="1">
      <alignment horizontal="center"/>
    </xf>
    <xf numFmtId="179" fontId="67" fillId="0" borderId="11" xfId="0" quotePrefix="1" applyNumberFormat="1" applyFont="1" applyBorder="1" applyAlignment="1">
      <alignment horizontal="right"/>
    </xf>
    <xf numFmtId="179" fontId="68" fillId="0" borderId="11" xfId="0" quotePrefix="1" applyNumberFormat="1" applyFont="1" applyBorder="1" applyAlignment="1">
      <alignment horizontal="right"/>
    </xf>
    <xf numFmtId="179" fontId="60" fillId="0" borderId="11" xfId="0" quotePrefix="1" applyNumberFormat="1" applyFont="1" applyBorder="1" applyAlignment="1"/>
    <xf numFmtId="179" fontId="67" fillId="0" borderId="11" xfId="0" quotePrefix="1" applyNumberFormat="1" applyFont="1" applyBorder="1" applyAlignment="1"/>
    <xf numFmtId="176" fontId="58" fillId="0" borderId="38" xfId="0" quotePrefix="1" applyNumberFormat="1" applyFont="1" applyBorder="1" applyAlignment="1">
      <alignment horizontal="center"/>
    </xf>
    <xf numFmtId="0" fontId="60" fillId="0" borderId="49" xfId="0" applyFont="1" applyBorder="1" applyAlignment="1">
      <alignment horizontal="left"/>
    </xf>
    <xf numFmtId="179" fontId="60" fillId="0" borderId="12" xfId="0" quotePrefix="1" applyNumberFormat="1" applyFont="1" applyBorder="1" applyAlignment="1">
      <alignment horizontal="right"/>
    </xf>
    <xf numFmtId="179" fontId="68" fillId="0" borderId="12" xfId="0" quotePrefix="1" applyNumberFormat="1" applyFont="1" applyBorder="1" applyAlignment="1">
      <alignment horizontal="right"/>
    </xf>
    <xf numFmtId="179" fontId="60" fillId="0" borderId="12" xfId="0" applyNumberFormat="1" applyFont="1" applyBorder="1" applyAlignment="1"/>
    <xf numFmtId="0" fontId="58" fillId="0" borderId="12" xfId="0" applyFont="1" applyBorder="1" applyAlignment="1">
      <alignment horizontal="center"/>
    </xf>
    <xf numFmtId="0" fontId="58" fillId="0" borderId="80" xfId="0" applyFont="1" applyBorder="1" applyAlignment="1">
      <alignment horizontal="center"/>
    </xf>
    <xf numFmtId="182" fontId="60" fillId="0" borderId="12" xfId="0" applyNumberFormat="1" applyFont="1" applyBorder="1" applyAlignment="1">
      <alignment horizontal="right" shrinkToFit="1"/>
    </xf>
    <xf numFmtId="179" fontId="60" fillId="0" borderId="12" xfId="0" applyNumberFormat="1" applyFont="1" applyBorder="1" applyAlignment="1">
      <alignment horizontal="right"/>
    </xf>
    <xf numFmtId="179" fontId="67" fillId="0" borderId="12" xfId="0" quotePrefix="1" applyNumberFormat="1" applyFont="1" applyBorder="1" applyAlignment="1">
      <alignment horizontal="right"/>
    </xf>
    <xf numFmtId="179" fontId="60" fillId="0" borderId="10" xfId="0" applyNumberFormat="1" applyFont="1" applyBorder="1" applyAlignment="1">
      <alignment horizontal="right"/>
    </xf>
    <xf numFmtId="179" fontId="60" fillId="0" borderId="13" xfId="0" applyNumberFormat="1" applyFont="1" applyBorder="1" applyAlignment="1"/>
    <xf numFmtId="0" fontId="58" fillId="0" borderId="81" xfId="0" applyFont="1" applyBorder="1" applyAlignment="1">
      <alignment horizontal="center"/>
    </xf>
    <xf numFmtId="182" fontId="60" fillId="0" borderId="13" xfId="0" applyNumberFormat="1" applyFont="1" applyBorder="1" applyAlignment="1">
      <alignment horizontal="right" shrinkToFit="1"/>
    </xf>
    <xf numFmtId="179" fontId="67" fillId="0" borderId="10" xfId="0" quotePrefix="1" applyNumberFormat="1" applyFont="1" applyBorder="1" applyAlignment="1">
      <alignment horizontal="right"/>
    </xf>
    <xf numFmtId="0" fontId="58" fillId="0" borderId="67" xfId="0" applyFont="1" applyBorder="1" applyAlignment="1">
      <alignment horizontal="center"/>
    </xf>
    <xf numFmtId="179" fontId="60" fillId="0" borderId="11" xfId="0" applyNumberFormat="1" applyFont="1" applyBorder="1" applyAlignment="1">
      <alignment horizontal="right"/>
    </xf>
    <xf numFmtId="0" fontId="58" fillId="0" borderId="74" xfId="0" applyFont="1" applyBorder="1" applyAlignment="1">
      <alignment horizontal="center"/>
    </xf>
    <xf numFmtId="0" fontId="58" fillId="0" borderId="63" xfId="0" applyFont="1" applyBorder="1" applyAlignment="1">
      <alignment horizontal="center"/>
    </xf>
    <xf numFmtId="179" fontId="68" fillId="0" borderId="10" xfId="0" quotePrefix="1" applyNumberFormat="1" applyFont="1" applyBorder="1" applyAlignment="1">
      <alignment horizontal="right"/>
    </xf>
    <xf numFmtId="176" fontId="60" fillId="0" borderId="13" xfId="0" applyNumberFormat="1" applyFont="1" applyBorder="1" applyAlignment="1">
      <alignment horizontal="right" vertical="center"/>
    </xf>
    <xf numFmtId="179" fontId="60" fillId="0" borderId="13" xfId="0" quotePrefix="1" applyNumberFormat="1" applyFont="1" applyBorder="1" applyAlignment="1">
      <alignment horizontal="right"/>
    </xf>
    <xf numFmtId="179" fontId="67" fillId="0" borderId="13" xfId="0" quotePrefix="1" applyNumberFormat="1" applyFont="1" applyBorder="1" applyAlignment="1">
      <alignment horizontal="right"/>
    </xf>
    <xf numFmtId="179" fontId="67" fillId="0" borderId="10" xfId="0" applyNumberFormat="1" applyFont="1" applyBorder="1" applyAlignment="1">
      <alignment horizontal="right"/>
    </xf>
    <xf numFmtId="0" fontId="58" fillId="0" borderId="88" xfId="0" applyFont="1" applyBorder="1" applyAlignment="1">
      <alignment horizontal="center"/>
    </xf>
    <xf numFmtId="176" fontId="58" fillId="0" borderId="39" xfId="0" quotePrefix="1" applyNumberFormat="1" applyFont="1" applyBorder="1" applyAlignment="1">
      <alignment horizontal="center"/>
    </xf>
    <xf numFmtId="179" fontId="60" fillId="0" borderId="13" xfId="0" applyNumberFormat="1" applyFont="1" applyBorder="1" applyAlignment="1">
      <alignment horizontal="right"/>
    </xf>
    <xf numFmtId="179" fontId="68" fillId="0" borderId="13" xfId="0" applyNumberFormat="1" applyFont="1" applyBorder="1" applyAlignment="1">
      <alignment horizontal="right"/>
    </xf>
    <xf numFmtId="0" fontId="60" fillId="0" borderId="11" xfId="0" applyFont="1" applyBorder="1" applyAlignment="1">
      <alignment horizontal="left" shrinkToFit="1"/>
    </xf>
    <xf numFmtId="176" fontId="58" fillId="0" borderId="85" xfId="0" quotePrefix="1" applyNumberFormat="1" applyFont="1" applyBorder="1" applyAlignment="1">
      <alignment horizontal="center"/>
    </xf>
    <xf numFmtId="176" fontId="60" fillId="0" borderId="86" xfId="0" applyNumberFormat="1" applyFont="1" applyBorder="1" applyAlignment="1"/>
    <xf numFmtId="0" fontId="60" fillId="0" borderId="86" xfId="0" applyFont="1" applyBorder="1" applyAlignment="1">
      <alignment horizontal="left"/>
    </xf>
    <xf numFmtId="179" fontId="60" fillId="0" borderId="86" xfId="0" quotePrefix="1" applyNumberFormat="1" applyFont="1" applyBorder="1" applyAlignment="1">
      <alignment horizontal="right"/>
    </xf>
    <xf numFmtId="179" fontId="60" fillId="0" borderId="86" xfId="0" applyNumberFormat="1" applyFont="1" applyBorder="1" applyAlignment="1"/>
    <xf numFmtId="0" fontId="58" fillId="0" borderId="87" xfId="0" applyFont="1" applyBorder="1" applyAlignment="1">
      <alignment horizontal="center"/>
    </xf>
    <xf numFmtId="0" fontId="60" fillId="0" borderId="12" xfId="0" applyFont="1" applyBorder="1" applyAlignment="1">
      <alignment horizontal="left" shrinkToFit="1"/>
    </xf>
    <xf numFmtId="176" fontId="60" fillId="0" borderId="82" xfId="0" quotePrefix="1" applyNumberFormat="1" applyFont="1" applyBorder="1" applyAlignment="1">
      <alignment horizontal="center"/>
    </xf>
    <xf numFmtId="0" fontId="58" fillId="0" borderId="83" xfId="0" applyFont="1" applyBorder="1" applyAlignment="1">
      <alignment horizontal="center"/>
    </xf>
    <xf numFmtId="0" fontId="58" fillId="0" borderId="84" xfId="0" applyFont="1" applyBorder="1" applyAlignment="1">
      <alignment horizontal="center"/>
    </xf>
    <xf numFmtId="0" fontId="60" fillId="0" borderId="13" xfId="0" applyFont="1" applyBorder="1" applyAlignment="1">
      <alignment horizontal="left" shrinkToFit="1"/>
    </xf>
    <xf numFmtId="14" fontId="58" fillId="0" borderId="0" xfId="0" applyNumberFormat="1" applyFont="1" applyAlignment="1"/>
    <xf numFmtId="0" fontId="58" fillId="0" borderId="0" xfId="0" applyFont="1" applyAlignment="1">
      <alignment horizontal="center" shrinkToFit="1"/>
    </xf>
    <xf numFmtId="0" fontId="58" fillId="0" borderId="0" xfId="0" applyFont="1" applyAlignment="1">
      <alignment shrinkToFit="1"/>
    </xf>
    <xf numFmtId="0" fontId="58" fillId="0" borderId="50" xfId="0" applyFont="1" applyBorder="1" applyAlignment="1"/>
    <xf numFmtId="0" fontId="58" fillId="0" borderId="51" xfId="0" applyFont="1" applyBorder="1" applyAlignment="1"/>
    <xf numFmtId="0" fontId="58" fillId="0" borderId="52" xfId="0" applyFont="1" applyBorder="1" applyAlignment="1"/>
    <xf numFmtId="0" fontId="58" fillId="0" borderId="53" xfId="0" applyFont="1" applyBorder="1" applyAlignment="1">
      <alignment shrinkToFit="1"/>
    </xf>
    <xf numFmtId="0" fontId="58" fillId="0" borderId="0" xfId="0" applyFont="1" applyAlignment="1">
      <alignment horizontal="right"/>
    </xf>
    <xf numFmtId="0" fontId="58" fillId="0" borderId="54" xfId="0" applyFont="1" applyBorder="1" applyAlignment="1">
      <alignment horizontal="right"/>
    </xf>
    <xf numFmtId="0" fontId="59" fillId="0" borderId="0" xfId="0" applyFont="1" applyAlignment="1">
      <alignment horizontal="left"/>
    </xf>
    <xf numFmtId="0" fontId="58" fillId="0" borderId="0" xfId="0" applyFont="1" applyAlignment="1">
      <alignment wrapText="1" shrinkToFit="1"/>
    </xf>
    <xf numFmtId="0" fontId="69" fillId="0" borderId="0" xfId="0" applyFont="1" applyAlignment="1">
      <alignment horizontal="left" readingOrder="1"/>
    </xf>
    <xf numFmtId="0" fontId="58" fillId="0" borderId="55" xfId="0" applyFont="1" applyBorder="1" applyAlignment="1"/>
    <xf numFmtId="0" fontId="58" fillId="0" borderId="56" xfId="0" applyFont="1" applyBorder="1" applyAlignment="1"/>
    <xf numFmtId="0" fontId="58" fillId="0" borderId="57" xfId="0" applyFont="1" applyBorder="1" applyAlignment="1"/>
    <xf numFmtId="38" fontId="46" fillId="24" borderId="96" xfId="46" applyFont="1" applyFill="1" applyBorder="1" applyAlignment="1">
      <alignment horizontal="left" vertical="center"/>
    </xf>
    <xf numFmtId="180" fontId="55" fillId="24" borderId="0" xfId="0" applyNumberFormat="1" applyFont="1" applyFill="1" applyAlignment="1">
      <alignment horizontal="center" vertical="center"/>
    </xf>
    <xf numFmtId="0" fontId="52" fillId="24" borderId="0" xfId="0" applyFont="1" applyFill="1" applyAlignment="1">
      <alignment horizontal="left" vertical="center"/>
    </xf>
    <xf numFmtId="0" fontId="55" fillId="24" borderId="0" xfId="0" applyFont="1" applyFill="1" applyAlignment="1">
      <alignment horizontal="center"/>
    </xf>
    <xf numFmtId="0" fontId="60" fillId="24" borderId="0" xfId="0" applyFont="1" applyFill="1" applyAlignment="1">
      <alignment horizontal="left" vertical="top" wrapText="1"/>
    </xf>
    <xf numFmtId="180" fontId="57" fillId="24" borderId="41" xfId="0" applyNumberFormat="1" applyFont="1" applyFill="1" applyBorder="1" applyAlignment="1">
      <alignment horizontal="center" vertical="center" wrapText="1"/>
    </xf>
    <xf numFmtId="21" fontId="60" fillId="24" borderId="58" xfId="0" applyNumberFormat="1" applyFont="1" applyFill="1" applyBorder="1" applyAlignment="1">
      <alignment horizontal="center"/>
    </xf>
    <xf numFmtId="0" fontId="72" fillId="0" borderId="0" xfId="0" applyFont="1" applyAlignment="1"/>
    <xf numFmtId="176" fontId="60" fillId="24" borderId="11" xfId="0" applyNumberFormat="1" applyFont="1" applyFill="1" applyBorder="1" applyAlignment="1">
      <alignment horizontal="right" vertical="center"/>
    </xf>
    <xf numFmtId="176" fontId="60" fillId="24" borderId="13" xfId="0" applyNumberFormat="1" applyFont="1" applyFill="1" applyBorder="1" applyAlignment="1">
      <alignment horizontal="center"/>
    </xf>
    <xf numFmtId="21" fontId="58" fillId="24" borderId="74" xfId="0" applyNumberFormat="1" applyFont="1" applyFill="1" applyBorder="1" applyAlignment="1">
      <alignment horizontal="left" vertical="top"/>
    </xf>
    <xf numFmtId="21" fontId="60" fillId="24" borderId="0" xfId="0" applyNumberFormat="1" applyFont="1" applyFill="1" applyAlignment="1">
      <alignment horizontal="center"/>
    </xf>
    <xf numFmtId="0" fontId="54" fillId="24" borderId="67" xfId="0" applyFont="1" applyFill="1" applyBorder="1">
      <alignment vertical="center"/>
    </xf>
    <xf numFmtId="180" fontId="60" fillId="24" borderId="63" xfId="0" applyNumberFormat="1" applyFont="1" applyFill="1" applyBorder="1" applyAlignment="1">
      <alignment horizontal="left" vertical="center"/>
    </xf>
    <xf numFmtId="21" fontId="60" fillId="24" borderId="66" xfId="0" applyNumberFormat="1" applyFont="1" applyFill="1" applyBorder="1" applyAlignment="1">
      <alignment horizontal="left"/>
    </xf>
    <xf numFmtId="176" fontId="60" fillId="24" borderId="12" xfId="0" applyNumberFormat="1" applyFont="1" applyFill="1" applyBorder="1" applyAlignment="1">
      <alignment horizontal="right" vertical="center"/>
    </xf>
    <xf numFmtId="2" fontId="60" fillId="24" borderId="13" xfId="0" applyNumberFormat="1" applyFont="1" applyFill="1" applyBorder="1" applyAlignment="1">
      <alignment horizontal="center"/>
    </xf>
    <xf numFmtId="49" fontId="55" fillId="24" borderId="0" xfId="0" applyNumberFormat="1" applyFont="1" applyFill="1" applyAlignment="1"/>
    <xf numFmtId="0" fontId="46" fillId="27" borderId="61" xfId="0" applyFont="1" applyFill="1" applyBorder="1" applyAlignment="1">
      <alignment horizontal="right" vertical="center"/>
    </xf>
    <xf numFmtId="14" fontId="46" fillId="27" borderId="96" xfId="0" applyNumberFormat="1" applyFont="1" applyFill="1" applyBorder="1" applyAlignment="1">
      <alignment horizontal="left" vertical="center"/>
    </xf>
    <xf numFmtId="38" fontId="46" fillId="27" borderId="96" xfId="46" applyFont="1" applyFill="1" applyBorder="1" applyAlignment="1">
      <alignment horizontal="left" vertical="center"/>
    </xf>
    <xf numFmtId="0" fontId="43" fillId="0" borderId="0" xfId="0" applyFont="1">
      <alignment vertical="center"/>
    </xf>
    <xf numFmtId="0" fontId="42" fillId="0" borderId="0" xfId="0" applyFont="1">
      <alignment vertical="center"/>
    </xf>
    <xf numFmtId="0" fontId="44" fillId="0" borderId="0" xfId="0" applyFont="1">
      <alignment vertical="center"/>
    </xf>
    <xf numFmtId="0" fontId="44" fillId="0" borderId="0" xfId="0" applyFont="1" applyAlignment="1">
      <alignment horizontal="center" vertical="center"/>
    </xf>
    <xf numFmtId="0" fontId="60" fillId="24" borderId="49" xfId="0" applyFont="1" applyFill="1" applyBorder="1" applyAlignment="1">
      <alignment horizontal="left"/>
    </xf>
    <xf numFmtId="0" fontId="11" fillId="0" borderId="0" xfId="0" applyFont="1" applyAlignment="1"/>
    <xf numFmtId="14" fontId="13" fillId="0" borderId="0" xfId="0" quotePrefix="1" applyNumberFormat="1" applyFont="1" applyAlignment="1">
      <alignment horizontal="right" vertical="center"/>
    </xf>
    <xf numFmtId="2" fontId="60" fillId="24" borderId="58" xfId="0" applyNumberFormat="1" applyFont="1" applyFill="1" applyBorder="1" applyAlignment="1">
      <alignment horizontal="center"/>
    </xf>
    <xf numFmtId="2" fontId="60" fillId="24" borderId="67" xfId="0" applyNumberFormat="1" applyFont="1" applyFill="1" applyBorder="1" applyAlignment="1">
      <alignment horizontal="center"/>
    </xf>
    <xf numFmtId="2" fontId="60" fillId="24" borderId="74" xfId="0" applyNumberFormat="1" applyFont="1" applyFill="1" applyBorder="1" applyAlignment="1">
      <alignment horizontal="center"/>
    </xf>
    <xf numFmtId="0" fontId="60" fillId="24" borderId="67" xfId="0" applyFont="1" applyFill="1" applyBorder="1" applyAlignment="1">
      <alignment horizontal="center"/>
    </xf>
    <xf numFmtId="0" fontId="60" fillId="24" borderId="11" xfId="0" quotePrefix="1" applyFont="1" applyFill="1" applyBorder="1" applyAlignment="1">
      <alignment horizontal="center"/>
    </xf>
    <xf numFmtId="0" fontId="60" fillId="24" borderId="12" xfId="0" quotePrefix="1" applyFont="1" applyFill="1" applyBorder="1" applyAlignment="1">
      <alignment horizontal="center"/>
    </xf>
    <xf numFmtId="0" fontId="60" fillId="24" borderId="13" xfId="0" quotePrefix="1" applyFont="1" applyFill="1" applyBorder="1" applyAlignment="1">
      <alignment horizontal="center"/>
    </xf>
    <xf numFmtId="2" fontId="60" fillId="24" borderId="63" xfId="0" applyNumberFormat="1" applyFont="1" applyFill="1" applyBorder="1" applyAlignment="1">
      <alignment horizontal="center"/>
    </xf>
    <xf numFmtId="0" fontId="75" fillId="24" borderId="118" xfId="0" applyFont="1" applyFill="1" applyBorder="1" applyAlignment="1">
      <alignment horizontal="right" vertical="center" shrinkToFit="1"/>
    </xf>
    <xf numFmtId="182" fontId="76" fillId="24" borderId="120" xfId="0" applyNumberFormat="1" applyFont="1" applyFill="1" applyBorder="1">
      <alignment vertical="center"/>
    </xf>
    <xf numFmtId="182" fontId="76" fillId="24" borderId="118" xfId="0" applyNumberFormat="1" applyFont="1" applyFill="1" applyBorder="1">
      <alignment vertical="center"/>
    </xf>
    <xf numFmtId="0" fontId="10" fillId="24" borderId="24" xfId="0" applyFont="1" applyFill="1" applyBorder="1" applyAlignment="1">
      <alignment horizontal="right" vertical="center" shrinkToFit="1"/>
    </xf>
    <xf numFmtId="182" fontId="76" fillId="24" borderId="122" xfId="0" applyNumberFormat="1" applyFont="1" applyFill="1" applyBorder="1">
      <alignment vertical="center"/>
    </xf>
    <xf numFmtId="182" fontId="76" fillId="24" borderId="123" xfId="0" applyNumberFormat="1" applyFont="1" applyFill="1" applyBorder="1">
      <alignment vertical="center"/>
    </xf>
    <xf numFmtId="0" fontId="75" fillId="24" borderId="123" xfId="0" applyFont="1" applyFill="1" applyBorder="1" applyAlignment="1">
      <alignment horizontal="right" vertical="center" shrinkToFit="1"/>
    </xf>
    <xf numFmtId="0" fontId="75" fillId="24" borderId="117" xfId="0" applyFont="1" applyFill="1" applyBorder="1" applyAlignment="1">
      <alignment horizontal="center" vertical="center" shrinkToFit="1"/>
    </xf>
    <xf numFmtId="56" fontId="4" fillId="0" borderId="128" xfId="0" applyNumberFormat="1" applyFont="1" applyBorder="1" applyAlignment="1">
      <alignment horizontal="right" vertical="center"/>
    </xf>
    <xf numFmtId="0" fontId="0" fillId="0" borderId="121" xfId="0" applyBorder="1">
      <alignment vertical="center"/>
    </xf>
    <xf numFmtId="0" fontId="10" fillId="0" borderId="128" xfId="0" applyFont="1" applyBorder="1" applyAlignment="1">
      <alignment horizontal="center"/>
    </xf>
    <xf numFmtId="0" fontId="10" fillId="0" borderId="125" xfId="0" applyFont="1" applyBorder="1" applyAlignment="1">
      <alignment horizontal="center"/>
    </xf>
    <xf numFmtId="20" fontId="0" fillId="0" borderId="126" xfId="0" applyNumberFormat="1" applyBorder="1" applyAlignment="1"/>
    <xf numFmtId="20" fontId="0" fillId="0" borderId="118" xfId="0" applyNumberFormat="1" applyBorder="1">
      <alignment vertical="center"/>
    </xf>
    <xf numFmtId="20" fontId="47" fillId="0" borderId="118" xfId="0" applyNumberFormat="1" applyFont="1" applyBorder="1">
      <alignment vertical="center"/>
    </xf>
    <xf numFmtId="0" fontId="0" fillId="0" borderId="118" xfId="0" applyBorder="1">
      <alignment vertical="center"/>
    </xf>
    <xf numFmtId="20" fontId="0" fillId="0" borderId="127" xfId="0" applyNumberFormat="1" applyBorder="1" applyAlignment="1"/>
    <xf numFmtId="20" fontId="0" fillId="0" borderId="124" xfId="0" applyNumberFormat="1" applyBorder="1">
      <alignment vertical="center"/>
    </xf>
    <xf numFmtId="0" fontId="77" fillId="0" borderId="118" xfId="0" applyFont="1" applyBorder="1" applyAlignment="1">
      <alignment vertical="center" shrinkToFit="1"/>
    </xf>
    <xf numFmtId="0" fontId="75" fillId="0" borderId="119" xfId="0" applyFont="1" applyBorder="1" applyAlignment="1">
      <alignment horizontal="center" vertical="center"/>
    </xf>
    <xf numFmtId="182" fontId="75" fillId="0" borderId="120" xfId="0" applyNumberFormat="1" applyFont="1" applyBorder="1">
      <alignment vertical="center"/>
    </xf>
    <xf numFmtId="182" fontId="75" fillId="0" borderId="118" xfId="0" applyNumberFormat="1" applyFont="1" applyBorder="1">
      <alignment vertical="center"/>
    </xf>
    <xf numFmtId="0" fontId="0" fillId="0" borderId="118" xfId="0" applyBorder="1" applyAlignment="1">
      <alignment horizontal="left" vertical="center"/>
    </xf>
    <xf numFmtId="0" fontId="0" fillId="0" borderId="129" xfId="0" applyBorder="1" applyAlignment="1">
      <alignment horizontal="left" vertical="center"/>
    </xf>
    <xf numFmtId="0" fontId="0" fillId="0" borderId="82" xfId="0" applyBorder="1" applyAlignment="1">
      <alignment horizontal="left" vertical="center"/>
    </xf>
    <xf numFmtId="0" fontId="75" fillId="24" borderId="124" xfId="0" applyFont="1" applyFill="1" applyBorder="1" applyAlignment="1">
      <alignment horizontal="right" vertical="center" shrinkToFit="1"/>
    </xf>
    <xf numFmtId="0" fontId="75" fillId="24" borderId="131" xfId="0" applyFont="1" applyFill="1" applyBorder="1" applyAlignment="1">
      <alignment horizontal="center" vertical="center" shrinkToFit="1"/>
    </xf>
    <xf numFmtId="0" fontId="10" fillId="0" borderId="132" xfId="48" applyFont="1" applyBorder="1" applyAlignment="1">
      <alignment horizontal="center" vertical="top" wrapText="1"/>
    </xf>
    <xf numFmtId="185" fontId="10" fillId="0" borderId="133" xfId="48" applyNumberFormat="1" applyFont="1" applyBorder="1" applyAlignment="1">
      <alignment horizontal="center" vertical="top" wrapText="1"/>
    </xf>
    <xf numFmtId="0" fontId="74" fillId="0" borderId="135" xfId="0" applyFont="1" applyBorder="1" applyAlignment="1">
      <alignment horizontal="center" vertical="center"/>
    </xf>
    <xf numFmtId="0" fontId="75" fillId="24" borderId="134" xfId="0" applyFont="1" applyFill="1" applyBorder="1" applyAlignment="1">
      <alignment horizontal="center" vertical="center" shrinkToFit="1"/>
    </xf>
    <xf numFmtId="0" fontId="10" fillId="24" borderId="134" xfId="0" applyFont="1" applyFill="1" applyBorder="1" applyAlignment="1">
      <alignment horizontal="center" vertical="center" shrinkToFit="1"/>
    </xf>
    <xf numFmtId="0" fontId="74" fillId="0" borderId="136" xfId="0" applyFont="1" applyBorder="1" applyAlignment="1">
      <alignment horizontal="center" vertical="center"/>
    </xf>
    <xf numFmtId="182" fontId="76" fillId="24" borderId="137" xfId="0" applyNumberFormat="1" applyFont="1" applyFill="1" applyBorder="1">
      <alignment vertical="center"/>
    </xf>
    <xf numFmtId="182" fontId="76" fillId="24" borderId="138" xfId="0" applyNumberFormat="1" applyFont="1" applyFill="1" applyBorder="1">
      <alignment vertical="center"/>
    </xf>
    <xf numFmtId="0" fontId="0" fillId="0" borderId="139" xfId="0" applyBorder="1">
      <alignment vertical="center"/>
    </xf>
    <xf numFmtId="0" fontId="0" fillId="0" borderId="140" xfId="0" applyBorder="1">
      <alignment vertical="center"/>
    </xf>
    <xf numFmtId="0" fontId="0" fillId="0" borderId="141" xfId="0" applyBorder="1">
      <alignment vertical="center"/>
    </xf>
    <xf numFmtId="0" fontId="0" fillId="0" borderId="129" xfId="0" applyBorder="1">
      <alignment vertical="center"/>
    </xf>
    <xf numFmtId="0" fontId="12" fillId="0" borderId="142" xfId="0" applyFont="1" applyBorder="1" applyAlignment="1"/>
    <xf numFmtId="0" fontId="12" fillId="0" borderId="143" xfId="0" applyFont="1" applyBorder="1" applyAlignment="1"/>
    <xf numFmtId="0" fontId="12" fillId="0" borderId="144" xfId="0" applyFont="1" applyBorder="1" applyAlignment="1"/>
    <xf numFmtId="0" fontId="10" fillId="0" borderId="145" xfId="48" applyFont="1" applyBorder="1" applyAlignment="1">
      <alignment horizontal="center" vertical="top" wrapText="1"/>
    </xf>
    <xf numFmtId="182" fontId="76" fillId="24" borderId="146" xfId="0" applyNumberFormat="1" applyFont="1" applyFill="1" applyBorder="1">
      <alignment vertical="center"/>
    </xf>
    <xf numFmtId="182" fontId="76" fillId="24" borderId="111" xfId="0" applyNumberFormat="1" applyFont="1" applyFill="1" applyBorder="1">
      <alignment vertical="center"/>
    </xf>
    <xf numFmtId="182" fontId="75" fillId="0" borderId="146" xfId="0" applyNumberFormat="1" applyFont="1" applyBorder="1">
      <alignment vertical="center"/>
    </xf>
    <xf numFmtId="182" fontId="76" fillId="24" borderId="130" xfId="0" applyNumberFormat="1" applyFont="1" applyFill="1" applyBorder="1">
      <alignment vertical="center"/>
    </xf>
    <xf numFmtId="0" fontId="0" fillId="0" borderId="146" xfId="0" applyBorder="1">
      <alignment vertical="center"/>
    </xf>
    <xf numFmtId="0" fontId="0" fillId="0" borderId="127" xfId="0" applyBorder="1">
      <alignment vertical="center"/>
    </xf>
    <xf numFmtId="0" fontId="0" fillId="0" borderId="147" xfId="0" applyBorder="1">
      <alignment vertical="center"/>
    </xf>
    <xf numFmtId="182" fontId="70" fillId="0" borderId="147" xfId="0" quotePrefix="1" applyNumberFormat="1" applyFont="1" applyBorder="1">
      <alignment vertical="center"/>
    </xf>
    <xf numFmtId="0" fontId="0" fillId="0" borderId="148" xfId="0" applyBorder="1">
      <alignment vertical="center"/>
    </xf>
    <xf numFmtId="0" fontId="74" fillId="0" borderId="149" xfId="0" applyFont="1" applyBorder="1" applyAlignment="1">
      <alignment horizontal="center" vertical="center"/>
    </xf>
    <xf numFmtId="182" fontId="76" fillId="24" borderId="150" xfId="0" applyNumberFormat="1" applyFont="1" applyFill="1" applyBorder="1">
      <alignment vertical="center"/>
    </xf>
    <xf numFmtId="0" fontId="0" fillId="0" borderId="44" xfId="0" applyBorder="1">
      <alignment vertical="center"/>
    </xf>
    <xf numFmtId="0" fontId="14" fillId="0" borderId="153" xfId="0" applyFont="1" applyBorder="1" applyAlignment="1">
      <alignment horizontal="center"/>
    </xf>
    <xf numFmtId="179" fontId="10" fillId="0" borderId="154" xfId="48" applyNumberFormat="1" applyFont="1" applyBorder="1" applyAlignment="1">
      <alignment horizontal="center" vertical="center" shrinkToFit="1"/>
    </xf>
    <xf numFmtId="179" fontId="10" fillId="0" borderId="155" xfId="48" applyNumberFormat="1" applyFont="1" applyBorder="1" applyAlignment="1">
      <alignment horizontal="center" vertical="center" shrinkToFit="1"/>
    </xf>
    <xf numFmtId="179" fontId="10" fillId="0" borderId="156" xfId="48" applyNumberFormat="1" applyFont="1" applyBorder="1" applyAlignment="1">
      <alignment horizontal="center" vertical="center" shrinkToFit="1"/>
    </xf>
    <xf numFmtId="0" fontId="55" fillId="24" borderId="34" xfId="0" applyFont="1" applyFill="1" applyBorder="1" applyAlignment="1">
      <alignment vertical="top"/>
    </xf>
    <xf numFmtId="178" fontId="60" fillId="0" borderId="159" xfId="0" applyNumberFormat="1" applyFont="1" applyBorder="1" applyAlignment="1"/>
    <xf numFmtId="178" fontId="60" fillId="0" borderId="158" xfId="0" applyNumberFormat="1" applyFont="1" applyBorder="1" applyAlignment="1"/>
    <xf numFmtId="178" fontId="60" fillId="0" borderId="160" xfId="0" applyNumberFormat="1" applyFont="1" applyBorder="1" applyAlignment="1"/>
    <xf numFmtId="178" fontId="60" fillId="0" borderId="129" xfId="0" applyNumberFormat="1" applyFont="1" applyBorder="1" applyAlignment="1"/>
    <xf numFmtId="178" fontId="60" fillId="0" borderId="148" xfId="0" applyNumberFormat="1" applyFont="1" applyBorder="1" applyAlignment="1"/>
    <xf numFmtId="185" fontId="60" fillId="0" borderId="127" xfId="0" applyNumberFormat="1" applyFont="1" applyBorder="1" applyAlignment="1"/>
    <xf numFmtId="0" fontId="55" fillId="0" borderId="102" xfId="0" applyFont="1" applyBorder="1" applyAlignment="1">
      <alignment horizontal="center"/>
    </xf>
    <xf numFmtId="0" fontId="58" fillId="0" borderId="111" xfId="0" applyFont="1" applyBorder="1" applyAlignment="1">
      <alignment horizontal="center"/>
    </xf>
    <xf numFmtId="185" fontId="60" fillId="0" borderId="161" xfId="0" applyNumberFormat="1" applyFont="1" applyBorder="1" applyAlignment="1"/>
    <xf numFmtId="178" fontId="60" fillId="0" borderId="141" xfId="0" applyNumberFormat="1" applyFont="1" applyBorder="1" applyAlignment="1"/>
    <xf numFmtId="178" fontId="60" fillId="0" borderId="110" xfId="0" applyNumberFormat="1" applyFont="1" applyBorder="1" applyAlignment="1"/>
    <xf numFmtId="178" fontId="60" fillId="0" borderId="162" xfId="0" applyNumberFormat="1" applyFont="1" applyBorder="1" applyAlignment="1"/>
    <xf numFmtId="178" fontId="60" fillId="0" borderId="82" xfId="0" applyNumberFormat="1" applyFont="1" applyBorder="1" applyAlignment="1"/>
    <xf numFmtId="178" fontId="60" fillId="0" borderId="163" xfId="0" applyNumberFormat="1" applyFont="1" applyBorder="1" applyAlignment="1"/>
    <xf numFmtId="178" fontId="60" fillId="0" borderId="147" xfId="0" applyNumberFormat="1" applyFont="1" applyBorder="1" applyAlignment="1"/>
    <xf numFmtId="0" fontId="60" fillId="0" borderId="36" xfId="0" quotePrefix="1" applyFont="1" applyBorder="1" applyAlignment="1">
      <alignment horizontal="center"/>
    </xf>
    <xf numFmtId="2" fontId="60" fillId="0" borderId="10" xfId="0" applyNumberFormat="1" applyFont="1" applyBorder="1" applyAlignment="1">
      <alignment horizontal="center"/>
    </xf>
    <xf numFmtId="0" fontId="60" fillId="0" borderId="10" xfId="0" applyFont="1" applyBorder="1" applyAlignment="1">
      <alignment horizontal="center"/>
    </xf>
    <xf numFmtId="21" fontId="60" fillId="0" borderId="10" xfId="0" applyNumberFormat="1" applyFont="1" applyBorder="1" applyAlignment="1">
      <alignment horizontal="center"/>
    </xf>
    <xf numFmtId="178" fontId="60" fillId="0" borderId="10" xfId="0" applyNumberFormat="1" applyFont="1" applyBorder="1" applyAlignment="1">
      <alignment horizontal="right"/>
    </xf>
    <xf numFmtId="176" fontId="60" fillId="0" borderId="10" xfId="0" applyNumberFormat="1" applyFont="1" applyBorder="1" applyAlignment="1">
      <alignment horizontal="right"/>
    </xf>
    <xf numFmtId="177" fontId="60" fillId="0" borderId="10" xfId="0" applyNumberFormat="1" applyFont="1" applyBorder="1" applyAlignment="1"/>
    <xf numFmtId="21" fontId="60" fillId="0" borderId="58" xfId="0" applyNumberFormat="1" applyFont="1" applyBorder="1" applyAlignment="1">
      <alignment horizontal="left"/>
    </xf>
    <xf numFmtId="0" fontId="60" fillId="0" borderId="26" xfId="0" applyFont="1" applyBorder="1" applyAlignment="1"/>
    <xf numFmtId="0" fontId="60" fillId="0" borderId="37" xfId="0" quotePrefix="1" applyFont="1" applyBorder="1" applyAlignment="1">
      <alignment horizontal="center"/>
    </xf>
    <xf numFmtId="2" fontId="60" fillId="0" borderId="11" xfId="0" applyNumberFormat="1" applyFont="1" applyBorder="1" applyAlignment="1">
      <alignment horizontal="center"/>
    </xf>
    <xf numFmtId="0" fontId="60" fillId="0" borderId="11" xfId="0" applyFont="1" applyBorder="1" applyAlignment="1">
      <alignment horizontal="center"/>
    </xf>
    <xf numFmtId="21" fontId="60" fillId="0" borderId="11" xfId="0" applyNumberFormat="1" applyFont="1" applyBorder="1" applyAlignment="1">
      <alignment horizontal="center"/>
    </xf>
    <xf numFmtId="178" fontId="60" fillId="0" borderId="11" xfId="0" applyNumberFormat="1" applyFont="1" applyBorder="1" applyAlignment="1">
      <alignment horizontal="right"/>
    </xf>
    <xf numFmtId="176" fontId="60" fillId="0" borderId="11" xfId="0" applyNumberFormat="1" applyFont="1" applyBorder="1" applyAlignment="1">
      <alignment horizontal="right"/>
    </xf>
    <xf numFmtId="177" fontId="60" fillId="0" borderId="11" xfId="0" applyNumberFormat="1" applyFont="1" applyBorder="1" applyAlignment="1"/>
    <xf numFmtId="181" fontId="60" fillId="0" borderId="11" xfId="0" applyNumberFormat="1" applyFont="1" applyBorder="1" applyAlignment="1">
      <alignment horizontal="right" vertical="top"/>
    </xf>
    <xf numFmtId="21" fontId="60" fillId="0" borderId="67" xfId="0" applyNumberFormat="1" applyFont="1" applyBorder="1" applyAlignment="1">
      <alignment horizontal="center"/>
    </xf>
    <xf numFmtId="0" fontId="60" fillId="0" borderId="27" xfId="0" applyFont="1" applyBorder="1" applyAlignment="1"/>
    <xf numFmtId="21" fontId="58" fillId="0" borderId="67" xfId="0" applyNumberFormat="1" applyFont="1" applyBorder="1" applyAlignment="1">
      <alignment horizontal="left" vertical="top"/>
    </xf>
    <xf numFmtId="0" fontId="60" fillId="0" borderId="38" xfId="0" quotePrefix="1" applyFont="1" applyBorder="1" applyAlignment="1">
      <alignment horizontal="center"/>
    </xf>
    <xf numFmtId="2" fontId="60" fillId="0" borderId="12" xfId="0" applyNumberFormat="1" applyFont="1" applyBorder="1" applyAlignment="1">
      <alignment horizontal="center"/>
    </xf>
    <xf numFmtId="0" fontId="60" fillId="0" borderId="12" xfId="0" applyFont="1" applyBorder="1" applyAlignment="1">
      <alignment horizontal="center"/>
    </xf>
    <xf numFmtId="21" fontId="60" fillId="0" borderId="12" xfId="0" applyNumberFormat="1" applyFont="1" applyBorder="1" applyAlignment="1">
      <alignment horizontal="center"/>
    </xf>
    <xf numFmtId="176" fontId="60" fillId="0" borderId="49" xfId="0" applyNumberFormat="1" applyFont="1" applyBorder="1" applyAlignment="1"/>
    <xf numFmtId="178" fontId="60" fillId="0" borderId="49" xfId="0" applyNumberFormat="1" applyFont="1" applyBorder="1" applyAlignment="1">
      <alignment horizontal="right"/>
    </xf>
    <xf numFmtId="0" fontId="60" fillId="0" borderId="49" xfId="0" applyFont="1" applyBorder="1" applyAlignment="1">
      <alignment horizontal="center"/>
    </xf>
    <xf numFmtId="176" fontId="60" fillId="0" borderId="49" xfId="0" applyNumberFormat="1" applyFont="1" applyBorder="1" applyAlignment="1">
      <alignment horizontal="right"/>
    </xf>
    <xf numFmtId="21" fontId="60" fillId="0" borderId="49" xfId="0" applyNumberFormat="1" applyFont="1" applyBorder="1" applyAlignment="1">
      <alignment horizontal="center"/>
    </xf>
    <xf numFmtId="179" fontId="60" fillId="0" borderId="49" xfId="0" applyNumberFormat="1" applyFont="1" applyBorder="1" applyAlignment="1"/>
    <xf numFmtId="177" fontId="60" fillId="0" borderId="49" xfId="0" applyNumberFormat="1" applyFont="1" applyBorder="1" applyAlignment="1"/>
    <xf numFmtId="181" fontId="60" fillId="0" borderId="49" xfId="0" applyNumberFormat="1" applyFont="1" applyBorder="1" applyAlignment="1">
      <alignment horizontal="right" vertical="top"/>
    </xf>
    <xf numFmtId="21" fontId="60" fillId="0" borderId="74" xfId="0" applyNumberFormat="1" applyFont="1" applyBorder="1" applyAlignment="1">
      <alignment horizontal="center"/>
    </xf>
    <xf numFmtId="0" fontId="60" fillId="0" borderId="28" xfId="0" applyFont="1" applyBorder="1" applyAlignment="1"/>
    <xf numFmtId="21" fontId="60" fillId="0" borderId="67" xfId="0" applyNumberFormat="1" applyFont="1" applyBorder="1" applyAlignment="1">
      <alignment horizontal="left"/>
    </xf>
    <xf numFmtId="181" fontId="60" fillId="0" borderId="12" xfId="0" applyNumberFormat="1" applyFont="1" applyBorder="1" applyAlignment="1">
      <alignment horizontal="right" vertical="top"/>
    </xf>
    <xf numFmtId="21" fontId="60" fillId="0" borderId="74" xfId="0" applyNumberFormat="1" applyFont="1" applyBorder="1" applyAlignment="1">
      <alignment horizontal="left"/>
    </xf>
    <xf numFmtId="21" fontId="60" fillId="0" borderId="63" xfId="0" applyNumberFormat="1" applyFont="1" applyBorder="1" applyAlignment="1">
      <alignment horizontal="left"/>
    </xf>
    <xf numFmtId="0" fontId="60" fillId="0" borderId="39" xfId="0" quotePrefix="1" applyFont="1" applyBorder="1" applyAlignment="1">
      <alignment horizontal="center"/>
    </xf>
    <xf numFmtId="0" fontId="60" fillId="0" borderId="13" xfId="0" applyFont="1" applyBorder="1" applyAlignment="1">
      <alignment horizontal="center"/>
    </xf>
    <xf numFmtId="180" fontId="60" fillId="0" borderId="66" xfId="0" applyNumberFormat="1" applyFont="1" applyBorder="1" applyAlignment="1">
      <alignment horizontal="left" vertical="center"/>
    </xf>
    <xf numFmtId="0" fontId="60" fillId="0" borderId="40" xfId="0" applyFont="1" applyBorder="1" applyAlignment="1"/>
    <xf numFmtId="180" fontId="60" fillId="0" borderId="69" xfId="0" applyNumberFormat="1" applyFont="1" applyBorder="1" applyAlignment="1">
      <alignment horizontal="left"/>
    </xf>
    <xf numFmtId="180" fontId="60" fillId="0" borderId="47" xfId="0" applyNumberFormat="1" applyFont="1" applyBorder="1" applyAlignment="1">
      <alignment horizontal="center"/>
    </xf>
    <xf numFmtId="21" fontId="60" fillId="0" borderId="13" xfId="0" applyNumberFormat="1" applyFont="1" applyBorder="1" applyAlignment="1">
      <alignment horizontal="center"/>
    </xf>
    <xf numFmtId="180" fontId="58" fillId="0" borderId="66" xfId="0" applyNumberFormat="1" applyFont="1" applyBorder="1">
      <alignment vertical="center"/>
    </xf>
    <xf numFmtId="180" fontId="58" fillId="0" borderId="69" xfId="0" applyNumberFormat="1" applyFont="1" applyBorder="1">
      <alignment vertical="center"/>
    </xf>
    <xf numFmtId="178" fontId="60" fillId="0" borderId="12" xfId="0" applyNumberFormat="1" applyFont="1" applyBorder="1" applyAlignment="1">
      <alignment horizontal="right"/>
    </xf>
    <xf numFmtId="176" fontId="60" fillId="0" borderId="12" xfId="0" applyNumberFormat="1" applyFont="1" applyBorder="1" applyAlignment="1">
      <alignment horizontal="right"/>
    </xf>
    <xf numFmtId="177" fontId="60" fillId="0" borderId="12" xfId="0" applyNumberFormat="1" applyFont="1" applyBorder="1" applyAlignment="1"/>
    <xf numFmtId="0" fontId="48" fillId="24" borderId="105" xfId="0" applyFont="1" applyFill="1" applyBorder="1" applyAlignment="1">
      <alignment horizontal="left" vertical="top" wrapText="1"/>
    </xf>
    <xf numFmtId="0" fontId="58" fillId="24" borderId="29" xfId="0" applyFont="1" applyFill="1" applyBorder="1" applyAlignment="1"/>
    <xf numFmtId="185" fontId="60" fillId="0" borderId="164" xfId="0" applyNumberFormat="1" applyFont="1" applyBorder="1" applyAlignment="1"/>
    <xf numFmtId="0" fontId="58" fillId="0" borderId="158" xfId="0" applyFont="1" applyBorder="1" applyAlignment="1">
      <alignment horizontal="center"/>
    </xf>
    <xf numFmtId="0" fontId="55" fillId="0" borderId="15" xfId="0" applyFont="1" applyBorder="1" applyAlignment="1">
      <alignment horizontal="center"/>
    </xf>
    <xf numFmtId="0" fontId="55" fillId="0" borderId="32" xfId="0" applyFont="1" applyBorder="1" applyAlignment="1">
      <alignment horizontal="center"/>
    </xf>
    <xf numFmtId="0" fontId="55" fillId="0" borderId="46" xfId="0" applyFont="1" applyBorder="1" applyAlignment="1">
      <alignment horizontal="center"/>
    </xf>
    <xf numFmtId="0" fontId="58" fillId="0" borderId="139" xfId="0" applyFont="1" applyBorder="1" applyAlignment="1">
      <alignment horizontal="center"/>
    </xf>
    <xf numFmtId="0" fontId="58" fillId="0" borderId="147" xfId="0" applyFont="1" applyBorder="1" applyAlignment="1">
      <alignment horizontal="center"/>
    </xf>
    <xf numFmtId="178" fontId="60" fillId="0" borderId="139" xfId="0" applyNumberFormat="1" applyFont="1" applyBorder="1" applyAlignment="1"/>
    <xf numFmtId="178" fontId="60" fillId="0" borderId="165" xfId="0" applyNumberFormat="1" applyFont="1" applyBorder="1" applyAlignment="1"/>
    <xf numFmtId="0" fontId="48" fillId="24" borderId="0" xfId="0" applyFont="1" applyFill="1" applyAlignment="1">
      <alignment vertical="top" wrapText="1"/>
    </xf>
    <xf numFmtId="0" fontId="48" fillId="24" borderId="111" xfId="0" applyFont="1" applyFill="1" applyBorder="1" applyAlignment="1">
      <alignment vertical="top" wrapText="1"/>
    </xf>
    <xf numFmtId="0" fontId="48" fillId="0" borderId="92" xfId="0" applyFont="1" applyBorder="1" applyAlignment="1">
      <alignment vertical="top" wrapText="1"/>
    </xf>
    <xf numFmtId="0" fontId="48" fillId="0" borderId="90" xfId="0" applyFont="1" applyBorder="1" applyAlignment="1">
      <alignment vertical="top" wrapText="1"/>
    </xf>
    <xf numFmtId="0" fontId="48" fillId="0" borderId="83" xfId="0" applyFont="1" applyBorder="1" applyAlignment="1">
      <alignment vertical="top" wrapText="1"/>
    </xf>
    <xf numFmtId="0" fontId="48" fillId="24" borderId="92" xfId="0" applyFont="1" applyFill="1" applyBorder="1" applyAlignment="1">
      <alignment horizontal="left" vertical="top" wrapText="1"/>
    </xf>
    <xf numFmtId="0" fontId="0" fillId="28" borderId="14" xfId="0" applyFill="1" applyBorder="1">
      <alignment vertical="center"/>
    </xf>
    <xf numFmtId="182" fontId="0" fillId="28" borderId="14" xfId="0" applyNumberFormat="1" applyFill="1" applyBorder="1">
      <alignment vertical="center"/>
    </xf>
    <xf numFmtId="0" fontId="0" fillId="29" borderId="17" xfId="0" applyFill="1" applyBorder="1">
      <alignment vertical="center"/>
    </xf>
    <xf numFmtId="176" fontId="60" fillId="24" borderId="12" xfId="0" applyNumberFormat="1" applyFont="1" applyFill="1" applyBorder="1" applyAlignment="1">
      <alignment horizontal="left"/>
    </xf>
    <xf numFmtId="178" fontId="60" fillId="24" borderId="49" xfId="0" applyNumberFormat="1" applyFont="1" applyFill="1" applyBorder="1" applyAlignment="1">
      <alignment horizontal="center"/>
    </xf>
    <xf numFmtId="178" fontId="60" fillId="24" borderId="10" xfId="0" applyNumberFormat="1" applyFont="1" applyFill="1" applyBorder="1" applyAlignment="1">
      <alignment horizontal="center"/>
    </xf>
    <xf numFmtId="176" fontId="60" fillId="24" borderId="10" xfId="0" applyNumberFormat="1" applyFont="1" applyFill="1" applyBorder="1" applyAlignment="1">
      <alignment horizontal="right" vertical="center"/>
    </xf>
    <xf numFmtId="182" fontId="60" fillId="0" borderId="13" xfId="0" applyNumberFormat="1" applyFont="1" applyBorder="1" applyAlignment="1">
      <alignment horizontal="center" shrinkToFit="1"/>
    </xf>
    <xf numFmtId="182" fontId="60" fillId="0" borderId="11" xfId="0" applyNumberFormat="1" applyFont="1" applyBorder="1" applyAlignment="1">
      <alignment horizontal="center" shrinkToFit="1"/>
    </xf>
    <xf numFmtId="182" fontId="60" fillId="0" borderId="12" xfId="0" applyNumberFormat="1" applyFont="1" applyBorder="1" applyAlignment="1">
      <alignment horizontal="center" shrinkToFit="1"/>
    </xf>
    <xf numFmtId="179" fontId="60" fillId="0" borderId="11" xfId="0" applyNumberFormat="1" applyFont="1" applyBorder="1" applyAlignment="1">
      <alignment horizontal="center" vertical="center"/>
    </xf>
    <xf numFmtId="179" fontId="60" fillId="0" borderId="12" xfId="0" applyNumberFormat="1" applyFont="1" applyBorder="1" applyAlignment="1">
      <alignment horizontal="center" vertical="center"/>
    </xf>
    <xf numFmtId="182" fontId="60" fillId="0" borderId="13" xfId="0" applyNumberFormat="1" applyFont="1" applyBorder="1" applyAlignment="1">
      <alignment horizontal="center" vertical="center" shrinkToFit="1"/>
    </xf>
    <xf numFmtId="182" fontId="60" fillId="0" borderId="11" xfId="0" applyNumberFormat="1" applyFont="1" applyBorder="1" applyAlignment="1">
      <alignment horizontal="center" vertical="center" shrinkToFit="1"/>
    </xf>
    <xf numFmtId="182" fontId="60" fillId="0" borderId="12" xfId="0" applyNumberFormat="1" applyFont="1" applyBorder="1" applyAlignment="1">
      <alignment horizontal="center" vertical="center" shrinkToFit="1"/>
    </xf>
    <xf numFmtId="0" fontId="78" fillId="0" borderId="0" xfId="0" applyFont="1" applyAlignment="1"/>
    <xf numFmtId="0" fontId="60" fillId="24" borderId="10" xfId="0" quotePrefix="1" applyFont="1" applyFill="1" applyBorder="1" applyAlignment="1">
      <alignment horizontal="center"/>
    </xf>
    <xf numFmtId="0" fontId="58" fillId="0" borderId="60" xfId="0" applyFont="1" applyBorder="1" applyAlignment="1">
      <alignment horizontal="center"/>
    </xf>
    <xf numFmtId="0" fontId="58" fillId="0" borderId="169" xfId="0" applyFont="1" applyBorder="1" applyAlignment="1">
      <alignment horizontal="center"/>
    </xf>
    <xf numFmtId="0" fontId="58" fillId="0" borderId="170" xfId="0" applyFont="1" applyBorder="1" applyAlignment="1">
      <alignment horizontal="center"/>
    </xf>
    <xf numFmtId="0" fontId="58" fillId="0" borderId="171" xfId="0" applyFont="1" applyBorder="1" applyAlignment="1">
      <alignment horizontal="center"/>
    </xf>
    <xf numFmtId="0" fontId="58" fillId="0" borderId="172" xfId="0" applyFont="1" applyBorder="1" applyAlignment="1">
      <alignment horizontal="center"/>
    </xf>
    <xf numFmtId="0" fontId="58" fillId="0" borderId="101" xfId="0" applyFont="1" applyBorder="1" applyAlignment="1">
      <alignment horizontal="center"/>
    </xf>
    <xf numFmtId="179" fontId="60" fillId="0" borderId="45" xfId="0" applyNumberFormat="1" applyFont="1" applyBorder="1" applyAlignment="1"/>
    <xf numFmtId="179" fontId="60" fillId="0" borderId="173" xfId="0" applyNumberFormat="1" applyFont="1" applyBorder="1" applyAlignment="1"/>
    <xf numFmtId="179" fontId="60" fillId="0" borderId="174" xfId="0" applyNumberFormat="1" applyFont="1" applyBorder="1" applyAlignment="1"/>
    <xf numFmtId="179" fontId="60" fillId="0" borderId="175" xfId="0" applyNumberFormat="1" applyFont="1" applyBorder="1" applyAlignment="1"/>
    <xf numFmtId="179" fontId="60" fillId="0" borderId="176" xfId="0" applyNumberFormat="1" applyFont="1" applyBorder="1" applyAlignment="1"/>
    <xf numFmtId="176" fontId="60" fillId="0" borderId="162" xfId="0" quotePrefix="1" applyNumberFormat="1" applyFont="1" applyBorder="1" applyAlignment="1">
      <alignment horizontal="center"/>
    </xf>
    <xf numFmtId="0" fontId="74" fillId="28" borderId="149" xfId="0" applyFont="1" applyFill="1" applyBorder="1" applyAlignment="1">
      <alignment horizontal="center" vertical="center"/>
    </xf>
    <xf numFmtId="0" fontId="74" fillId="28" borderId="135" xfId="0" applyFont="1" applyFill="1" applyBorder="1" applyAlignment="1">
      <alignment horizontal="center" vertical="center"/>
    </xf>
    <xf numFmtId="0" fontId="11" fillId="28" borderId="0" xfId="0" applyFont="1" applyFill="1" applyAlignment="1"/>
    <xf numFmtId="14" fontId="13" fillId="28" borderId="0" xfId="0" quotePrefix="1" applyNumberFormat="1" applyFont="1" applyFill="1" applyAlignment="1">
      <alignment horizontal="right" vertical="center"/>
    </xf>
    <xf numFmtId="0" fontId="10" fillId="30" borderId="158" xfId="0" applyFont="1" applyFill="1" applyBorder="1" applyAlignment="1">
      <alignment horizontal="right" vertical="center" shrinkToFit="1"/>
    </xf>
    <xf numFmtId="0" fontId="10" fillId="30" borderId="139" xfId="0" applyFont="1" applyFill="1" applyBorder="1" applyAlignment="1">
      <alignment horizontal="center" vertical="center" shrinkToFit="1"/>
    </xf>
    <xf numFmtId="182" fontId="75" fillId="30" borderId="168" xfId="0" applyNumberFormat="1" applyFont="1" applyFill="1" applyBorder="1">
      <alignment vertical="center"/>
    </xf>
    <xf numFmtId="182" fontId="75" fillId="30" borderId="158" xfId="0" applyNumberFormat="1" applyFont="1" applyFill="1" applyBorder="1">
      <alignment vertical="center"/>
    </xf>
    <xf numFmtId="182" fontId="75" fillId="30" borderId="147" xfId="0" applyNumberFormat="1" applyFont="1" applyFill="1" applyBorder="1">
      <alignment vertical="center"/>
    </xf>
    <xf numFmtId="0" fontId="0" fillId="0" borderId="147" xfId="0" applyBorder="1" applyAlignment="1">
      <alignment horizontal="center" vertical="center"/>
    </xf>
    <xf numFmtId="0" fontId="10" fillId="0" borderId="179" xfId="0" applyFont="1" applyBorder="1" applyAlignment="1">
      <alignment horizontal="right" vertical="center" shrinkToFit="1"/>
    </xf>
    <xf numFmtId="0" fontId="10" fillId="0" borderId="180" xfId="0" applyFont="1" applyBorder="1" applyAlignment="1">
      <alignment horizontal="center" vertical="center" shrinkToFit="1"/>
    </xf>
    <xf numFmtId="182" fontId="75" fillId="0" borderId="181" xfId="0" applyNumberFormat="1" applyFont="1" applyBorder="1">
      <alignment vertical="center"/>
    </xf>
    <xf numFmtId="182" fontId="75" fillId="0" borderId="182" xfId="0" applyNumberFormat="1" applyFont="1" applyBorder="1">
      <alignment vertical="center"/>
    </xf>
    <xf numFmtId="182" fontId="75" fillId="0" borderId="183" xfId="0" applyNumberFormat="1" applyFont="1" applyBorder="1">
      <alignment vertical="center"/>
    </xf>
    <xf numFmtId="0" fontId="0" fillId="0" borderId="183" xfId="0" applyBorder="1" applyAlignment="1">
      <alignment horizontal="center" vertical="center"/>
    </xf>
    <xf numFmtId="0" fontId="75" fillId="0" borderId="182" xfId="0" applyFont="1" applyBorder="1" applyAlignment="1">
      <alignment horizontal="right" vertical="center" shrinkToFit="1"/>
    </xf>
    <xf numFmtId="0" fontId="75" fillId="0" borderId="180" xfId="0" applyFont="1" applyBorder="1" applyAlignment="1">
      <alignment horizontal="center" vertical="center" shrinkToFit="1"/>
    </xf>
    <xf numFmtId="177" fontId="75" fillId="0" borderId="184" xfId="0" applyNumberFormat="1" applyFont="1" applyBorder="1" applyAlignment="1">
      <alignment horizontal="center" vertical="center"/>
    </xf>
    <xf numFmtId="182" fontId="75" fillId="0" borderId="122" xfId="0" applyNumberFormat="1" applyFont="1" applyBorder="1">
      <alignment vertical="center"/>
    </xf>
    <xf numFmtId="182" fontId="75" fillId="0" borderId="123" xfId="0" applyNumberFormat="1" applyFont="1" applyBorder="1">
      <alignment vertical="center"/>
    </xf>
    <xf numFmtId="182" fontId="75" fillId="0" borderId="185" xfId="0" applyNumberFormat="1" applyFont="1" applyBorder="1">
      <alignment vertical="center"/>
    </xf>
    <xf numFmtId="0" fontId="77" fillId="30" borderId="182" xfId="0" applyFont="1" applyFill="1" applyBorder="1" applyAlignment="1">
      <alignment vertical="center" shrinkToFit="1"/>
    </xf>
    <xf numFmtId="0" fontId="75" fillId="30" borderId="180" xfId="0" applyFont="1" applyFill="1" applyBorder="1" applyAlignment="1">
      <alignment horizontal="center" vertical="center"/>
    </xf>
    <xf numFmtId="182" fontId="75" fillId="30" borderId="181" xfId="0" applyNumberFormat="1" applyFont="1" applyFill="1" applyBorder="1">
      <alignment vertical="center"/>
    </xf>
    <xf numFmtId="182" fontId="75" fillId="30" borderId="182" xfId="0" applyNumberFormat="1" applyFont="1" applyFill="1" applyBorder="1">
      <alignment vertical="center"/>
    </xf>
    <xf numFmtId="182" fontId="75" fillId="30" borderId="183" xfId="0" applyNumberFormat="1" applyFont="1" applyFill="1" applyBorder="1">
      <alignment vertical="center"/>
    </xf>
    <xf numFmtId="0" fontId="75" fillId="30" borderId="182" xfId="0" applyFont="1" applyFill="1" applyBorder="1" applyAlignment="1">
      <alignment horizontal="right" vertical="center" shrinkToFit="1"/>
    </xf>
    <xf numFmtId="0" fontId="75" fillId="30" borderId="180" xfId="0" applyFont="1" applyFill="1" applyBorder="1" applyAlignment="1">
      <alignment horizontal="center" vertical="center" shrinkToFit="1"/>
    </xf>
    <xf numFmtId="0" fontId="75" fillId="0" borderId="123" xfId="0" applyFont="1" applyBorder="1" applyAlignment="1">
      <alignment horizontal="right" vertical="center" shrinkToFit="1"/>
    </xf>
    <xf numFmtId="0" fontId="75" fillId="0" borderId="186" xfId="0" applyFont="1" applyBorder="1" applyAlignment="1">
      <alignment horizontal="right" vertical="center" shrinkToFit="1"/>
    </xf>
    <xf numFmtId="0" fontId="75" fillId="0" borderId="187" xfId="0" applyFont="1" applyBorder="1" applyAlignment="1">
      <alignment horizontal="center" vertical="center" shrinkToFit="1"/>
    </xf>
    <xf numFmtId="182" fontId="75" fillId="0" borderId="188" xfId="0" applyNumberFormat="1" applyFont="1" applyBorder="1">
      <alignment vertical="center"/>
    </xf>
    <xf numFmtId="182" fontId="75" fillId="0" borderId="186" xfId="0" applyNumberFormat="1" applyFont="1" applyBorder="1">
      <alignment vertical="center"/>
    </xf>
    <xf numFmtId="182" fontId="75" fillId="0" borderId="189" xfId="0" applyNumberFormat="1" applyFont="1" applyBorder="1">
      <alignment vertical="center"/>
    </xf>
    <xf numFmtId="0" fontId="75" fillId="0" borderId="190" xfId="0" applyFont="1" applyBorder="1" applyAlignment="1">
      <alignment horizontal="center" vertical="center"/>
    </xf>
    <xf numFmtId="176" fontId="60" fillId="0" borderId="12" xfId="0" applyNumberFormat="1" applyFont="1" applyBorder="1" applyAlignment="1">
      <alignment horizontal="right" vertical="center"/>
    </xf>
    <xf numFmtId="0" fontId="58" fillId="0" borderId="0" xfId="0" applyFont="1" applyAlignment="1">
      <alignment horizontal="center" vertical="center" wrapText="1"/>
    </xf>
    <xf numFmtId="0" fontId="54" fillId="0" borderId="0" xfId="0" applyFont="1" applyAlignment="1">
      <alignment horizontal="center" vertical="center"/>
    </xf>
    <xf numFmtId="0" fontId="58" fillId="0" borderId="0" xfId="0" applyFont="1" applyAlignment="1">
      <alignment horizontal="center" vertical="center"/>
    </xf>
    <xf numFmtId="0" fontId="55" fillId="0" borderId="0" xfId="0" applyFont="1" applyAlignment="1">
      <alignment horizontal="center" vertical="center"/>
    </xf>
    <xf numFmtId="0" fontId="60" fillId="24" borderId="11" xfId="0" applyFont="1" applyFill="1" applyBorder="1" applyAlignment="1">
      <alignment horizontal="center" vertical="center"/>
    </xf>
    <xf numFmtId="176" fontId="58" fillId="0" borderId="12" xfId="0" quotePrefix="1" applyNumberFormat="1" applyFont="1" applyBorder="1" applyAlignment="1">
      <alignment horizontal="center" vertical="center"/>
    </xf>
    <xf numFmtId="0" fontId="60" fillId="24" borderId="13" xfId="0" applyFont="1" applyFill="1" applyBorder="1" applyAlignment="1">
      <alignment horizontal="center" vertical="center"/>
    </xf>
    <xf numFmtId="0" fontId="58" fillId="0" borderId="182" xfId="0" applyFont="1" applyBorder="1" applyAlignment="1">
      <alignment horizontal="center" vertical="center"/>
    </xf>
    <xf numFmtId="0" fontId="60" fillId="24" borderId="12" xfId="0" applyFont="1" applyFill="1" applyBorder="1" applyAlignment="1">
      <alignment horizontal="center" vertical="center"/>
    </xf>
    <xf numFmtId="0" fontId="48" fillId="24" borderId="90" xfId="0" applyFont="1" applyFill="1" applyBorder="1" applyAlignment="1">
      <alignment horizontal="left" vertical="top" wrapText="1"/>
    </xf>
    <xf numFmtId="0" fontId="49" fillId="24" borderId="0" xfId="0" applyFont="1" applyFill="1" applyAlignment="1">
      <alignment horizontal="right" vertical="top"/>
    </xf>
    <xf numFmtId="0" fontId="49" fillId="24" borderId="0" xfId="0" applyFont="1" applyFill="1" applyAlignment="1">
      <alignment horizontal="center" wrapText="1"/>
    </xf>
    <xf numFmtId="0" fontId="49" fillId="24" borderId="0" xfId="0" applyFont="1" applyFill="1" applyAlignment="1">
      <alignment horizontal="center"/>
    </xf>
    <xf numFmtId="0" fontId="55" fillId="24" borderId="102" xfId="0" applyFont="1" applyFill="1" applyBorder="1" applyAlignment="1">
      <alignment horizontal="center"/>
    </xf>
    <xf numFmtId="0" fontId="55" fillId="24" borderId="103" xfId="0" applyFont="1" applyFill="1" applyBorder="1" applyAlignment="1">
      <alignment horizontal="center"/>
    </xf>
    <xf numFmtId="0" fontId="61" fillId="24" borderId="104" xfId="0" applyFont="1" applyFill="1" applyBorder="1" applyAlignment="1">
      <alignment horizontal="left" vertical="top" wrapText="1"/>
    </xf>
    <xf numFmtId="0" fontId="61" fillId="24" borderId="105" xfId="0" applyFont="1" applyFill="1" applyBorder="1" applyAlignment="1">
      <alignment horizontal="left" vertical="top" wrapText="1"/>
    </xf>
    <xf numFmtId="0" fontId="61" fillId="24" borderId="97" xfId="0" applyFont="1" applyFill="1" applyBorder="1" applyAlignment="1">
      <alignment horizontal="left" vertical="top" wrapText="1"/>
    </xf>
    <xf numFmtId="0" fontId="61" fillId="24" borderId="106" xfId="0" applyFont="1" applyFill="1" applyBorder="1" applyAlignment="1">
      <alignment horizontal="left" vertical="top" wrapText="1"/>
    </xf>
    <xf numFmtId="0" fontId="61" fillId="24" borderId="0" xfId="0" applyFont="1" applyFill="1" applyAlignment="1">
      <alignment horizontal="left" vertical="top" wrapText="1"/>
    </xf>
    <xf numFmtId="0" fontId="61" fillId="24" borderId="100" xfId="0" applyFont="1" applyFill="1" applyBorder="1" applyAlignment="1">
      <alignment horizontal="left" vertical="top" wrapText="1"/>
    </xf>
    <xf numFmtId="0" fontId="61" fillId="24" borderId="107" xfId="0" applyFont="1" applyFill="1" applyBorder="1" applyAlignment="1">
      <alignment horizontal="left" vertical="top" wrapText="1"/>
    </xf>
    <xf numFmtId="0" fontId="61" fillId="24" borderId="91" xfId="0" applyFont="1" applyFill="1" applyBorder="1" applyAlignment="1">
      <alignment horizontal="left" vertical="top" wrapText="1"/>
    </xf>
    <xf numFmtId="0" fontId="61" fillId="24" borderId="95" xfId="0" applyFont="1" applyFill="1" applyBorder="1" applyAlignment="1">
      <alignment horizontal="left" vertical="top" wrapText="1"/>
    </xf>
    <xf numFmtId="0" fontId="48" fillId="24" borderId="105" xfId="0" applyFont="1" applyFill="1" applyBorder="1" applyAlignment="1">
      <alignment horizontal="left" vertical="top" wrapText="1"/>
    </xf>
    <xf numFmtId="0" fontId="48" fillId="24" borderId="97" xfId="0" applyFont="1" applyFill="1" applyBorder="1" applyAlignment="1">
      <alignment horizontal="left" vertical="top" wrapText="1"/>
    </xf>
    <xf numFmtId="0" fontId="59" fillId="24" borderId="92" xfId="0" applyFont="1" applyFill="1" applyBorder="1" applyAlignment="1">
      <alignment horizontal="left" vertical="top" wrapText="1"/>
    </xf>
    <xf numFmtId="0" fontId="60" fillId="24" borderId="105" xfId="0" applyFont="1" applyFill="1" applyBorder="1" applyAlignment="1">
      <alignment horizontal="left" vertical="top" wrapText="1"/>
    </xf>
    <xf numFmtId="0" fontId="60" fillId="24" borderId="108" xfId="0" applyFont="1" applyFill="1" applyBorder="1" applyAlignment="1">
      <alignment horizontal="left" vertical="top" wrapText="1"/>
    </xf>
    <xf numFmtId="0" fontId="60" fillId="24" borderId="90" xfId="0" applyFont="1" applyFill="1" applyBorder="1" applyAlignment="1">
      <alignment horizontal="left" vertical="top" wrapText="1"/>
    </xf>
    <xf numFmtId="0" fontId="60" fillId="24" borderId="0" xfId="0" applyFont="1" applyFill="1" applyAlignment="1">
      <alignment horizontal="left" vertical="top" wrapText="1"/>
    </xf>
    <xf numFmtId="0" fontId="60" fillId="24" borderId="25" xfId="0" applyFont="1" applyFill="1" applyBorder="1" applyAlignment="1">
      <alignment horizontal="left" vertical="top" wrapText="1"/>
    </xf>
    <xf numFmtId="0" fontId="60" fillId="24" borderId="83" xfId="0" applyFont="1" applyFill="1" applyBorder="1" applyAlignment="1">
      <alignment horizontal="left" vertical="top" wrapText="1"/>
    </xf>
    <xf numFmtId="0" fontId="60" fillId="24" borderId="34" xfId="0" applyFont="1" applyFill="1" applyBorder="1" applyAlignment="1">
      <alignment horizontal="left" vertical="top" wrapText="1"/>
    </xf>
    <xf numFmtId="0" fontId="60" fillId="24" borderId="109" xfId="0" applyFont="1" applyFill="1" applyBorder="1" applyAlignment="1">
      <alignment horizontal="left" vertical="top" wrapText="1"/>
    </xf>
    <xf numFmtId="0" fontId="48" fillId="24" borderId="0" xfId="0" applyFont="1" applyFill="1" applyAlignment="1">
      <alignment horizontal="left" vertical="top" wrapText="1"/>
    </xf>
    <xf numFmtId="0" fontId="48" fillId="24" borderId="100" xfId="0" applyFont="1" applyFill="1" applyBorder="1" applyAlignment="1">
      <alignment horizontal="left" vertical="top" wrapText="1"/>
    </xf>
    <xf numFmtId="0" fontId="58" fillId="24" borderId="104" xfId="0" applyFont="1" applyFill="1" applyBorder="1" applyAlignment="1">
      <alignment horizontal="left" vertical="top" wrapText="1"/>
    </xf>
    <xf numFmtId="0" fontId="58" fillId="24" borderId="105" xfId="0" applyFont="1" applyFill="1" applyBorder="1" applyAlignment="1">
      <alignment horizontal="left" vertical="top" wrapText="1"/>
    </xf>
    <xf numFmtId="0" fontId="58" fillId="24" borderId="97" xfId="0" applyFont="1" applyFill="1" applyBorder="1" applyAlignment="1">
      <alignment horizontal="left" vertical="top" wrapText="1"/>
    </xf>
    <xf numFmtId="0" fontId="58" fillId="24" borderId="106" xfId="0" applyFont="1" applyFill="1" applyBorder="1" applyAlignment="1">
      <alignment horizontal="left" vertical="top" wrapText="1"/>
    </xf>
    <xf numFmtId="0" fontId="58" fillId="24" borderId="0" xfId="0" applyFont="1" applyFill="1" applyAlignment="1">
      <alignment horizontal="left" vertical="top" wrapText="1"/>
    </xf>
    <xf numFmtId="0" fontId="58" fillId="24" borderId="100" xfId="0" applyFont="1" applyFill="1" applyBorder="1" applyAlignment="1">
      <alignment horizontal="left" vertical="top" wrapText="1"/>
    </xf>
    <xf numFmtId="0" fontId="58" fillId="24" borderId="110" xfId="0" applyFont="1" applyFill="1" applyBorder="1" applyAlignment="1">
      <alignment horizontal="left" vertical="top" wrapText="1"/>
    </xf>
    <xf numFmtId="0" fontId="58" fillId="24" borderId="34" xfId="0" applyFont="1" applyFill="1" applyBorder="1" applyAlignment="1">
      <alignment horizontal="left" vertical="top" wrapText="1"/>
    </xf>
    <xf numFmtId="0" fontId="58" fillId="24" borderId="101" xfId="0" applyFont="1" applyFill="1" applyBorder="1" applyAlignment="1">
      <alignment horizontal="left" vertical="top" wrapText="1"/>
    </xf>
    <xf numFmtId="0" fontId="48" fillId="24" borderId="34" xfId="0" applyFont="1" applyFill="1" applyBorder="1" applyAlignment="1">
      <alignment horizontal="center" vertical="top" wrapText="1"/>
    </xf>
    <xf numFmtId="0" fontId="48" fillId="24" borderId="101" xfId="0" applyFont="1" applyFill="1" applyBorder="1" applyAlignment="1">
      <alignment horizontal="center" vertical="top" wrapText="1"/>
    </xf>
    <xf numFmtId="0" fontId="48" fillId="24" borderId="111" xfId="0" applyFont="1" applyFill="1" applyBorder="1" applyAlignment="1">
      <alignment horizontal="left" vertical="top" wrapText="1"/>
    </xf>
    <xf numFmtId="56" fontId="48" fillId="24" borderId="105" xfId="0" applyNumberFormat="1" applyFont="1" applyFill="1" applyBorder="1" applyAlignment="1">
      <alignment horizontal="left" vertical="top" wrapText="1"/>
    </xf>
    <xf numFmtId="0" fontId="65" fillId="24" borderId="0" xfId="0" applyFont="1" applyFill="1" applyAlignment="1">
      <alignment horizontal="center" wrapText="1"/>
    </xf>
    <xf numFmtId="0" fontId="58" fillId="24" borderId="92" xfId="0" applyFont="1" applyFill="1" applyBorder="1" applyAlignment="1">
      <alignment horizontal="left" vertical="top" wrapText="1"/>
    </xf>
    <xf numFmtId="0" fontId="58" fillId="24" borderId="108" xfId="0" applyFont="1" applyFill="1" applyBorder="1" applyAlignment="1">
      <alignment horizontal="left" vertical="top" wrapText="1"/>
    </xf>
    <xf numFmtId="0" fontId="58" fillId="24" borderId="90" xfId="0" applyFont="1" applyFill="1" applyBorder="1" applyAlignment="1">
      <alignment horizontal="left" vertical="top" wrapText="1"/>
    </xf>
    <xf numFmtId="0" fontId="58" fillId="24" borderId="25" xfId="0" applyFont="1" applyFill="1" applyBorder="1" applyAlignment="1">
      <alignment horizontal="left" vertical="top" wrapText="1"/>
    </xf>
    <xf numFmtId="0" fontId="58" fillId="24" borderId="83" xfId="0" applyFont="1" applyFill="1" applyBorder="1" applyAlignment="1">
      <alignment horizontal="left" vertical="top" wrapText="1"/>
    </xf>
    <xf numFmtId="0" fontId="58" fillId="24" borderId="109" xfId="0" applyFont="1" applyFill="1" applyBorder="1" applyAlignment="1">
      <alignment horizontal="left" vertical="top" wrapText="1"/>
    </xf>
    <xf numFmtId="0" fontId="60" fillId="24" borderId="100" xfId="0" applyFont="1" applyFill="1" applyBorder="1" applyAlignment="1">
      <alignment horizontal="left" vertical="top" wrapText="1"/>
    </xf>
    <xf numFmtId="0" fontId="60" fillId="24" borderId="92" xfId="0" applyFont="1" applyFill="1" applyBorder="1" applyAlignment="1">
      <alignment horizontal="left" vertical="top" wrapText="1"/>
    </xf>
    <xf numFmtId="0" fontId="58" fillId="0" borderId="112" xfId="0" applyFont="1" applyBorder="1" applyAlignment="1">
      <alignment horizontal="center" vertical="center"/>
    </xf>
    <xf numFmtId="0" fontId="58" fillId="0" borderId="113" xfId="0" applyFont="1" applyBorder="1" applyAlignment="1">
      <alignment horizontal="center" vertical="center"/>
    </xf>
    <xf numFmtId="0" fontId="58" fillId="0" borderId="114" xfId="0" applyFont="1" applyBorder="1" applyAlignment="1">
      <alignment horizontal="center" vertical="center"/>
    </xf>
    <xf numFmtId="0" fontId="58" fillId="0" borderId="53" xfId="0" applyFont="1" applyBorder="1" applyAlignment="1">
      <alignment horizontal="left" shrinkToFit="1"/>
    </xf>
    <xf numFmtId="0" fontId="58" fillId="0" borderId="0" xfId="0" applyFont="1" applyAlignment="1">
      <alignment horizontal="left" shrinkToFit="1"/>
    </xf>
    <xf numFmtId="0" fontId="52" fillId="0" borderId="0" xfId="0" applyFont="1" applyAlignment="1">
      <alignment horizontal="center" vertical="center"/>
    </xf>
    <xf numFmtId="0" fontId="49" fillId="0" borderId="0" xfId="0" applyFont="1" applyAlignment="1">
      <alignment horizontal="center" vertical="center"/>
    </xf>
    <xf numFmtId="0" fontId="58" fillId="0" borderId="0" xfId="0" applyFont="1" applyAlignment="1">
      <alignment horizontal="right" vertical="center" shrinkToFit="1"/>
    </xf>
    <xf numFmtId="0" fontId="58" fillId="0" borderId="30" xfId="0" applyFont="1" applyBorder="1" applyAlignment="1">
      <alignment horizontal="center" vertical="center"/>
    </xf>
    <xf numFmtId="0" fontId="58" fillId="0" borderId="23" xfId="0" applyFont="1" applyBorder="1" applyAlignment="1">
      <alignment horizontal="center" vertical="center"/>
    </xf>
    <xf numFmtId="0" fontId="58" fillId="0" borderId="43" xfId="0" applyFont="1" applyBorder="1" applyAlignment="1">
      <alignment horizontal="center" vertical="center"/>
    </xf>
    <xf numFmtId="0" fontId="60" fillId="0" borderId="31" xfId="0" applyFont="1" applyBorder="1" applyAlignment="1">
      <alignment horizontal="center" vertical="center" wrapText="1"/>
    </xf>
    <xf numFmtId="0" fontId="60" fillId="0" borderId="24" xfId="0" applyFont="1" applyBorder="1" applyAlignment="1">
      <alignment horizontal="center" vertical="center" wrapText="1"/>
    </xf>
    <xf numFmtId="0" fontId="60" fillId="0" borderId="29" xfId="0" applyFont="1" applyBorder="1" applyAlignment="1">
      <alignment horizontal="center" vertical="center" wrapText="1"/>
    </xf>
    <xf numFmtId="0" fontId="58" fillId="0" borderId="31" xfId="0" applyFont="1" applyBorder="1" applyAlignment="1">
      <alignment horizontal="center" vertical="center" shrinkToFit="1"/>
    </xf>
    <xf numFmtId="0" fontId="58" fillId="0" borderId="24" xfId="0" applyFont="1" applyBorder="1" applyAlignment="1">
      <alignment horizontal="center" vertical="center" shrinkToFit="1"/>
    </xf>
    <xf numFmtId="0" fontId="58" fillId="0" borderId="29" xfId="0" applyFont="1" applyBorder="1" applyAlignment="1">
      <alignment horizontal="center" vertical="center" shrinkToFit="1"/>
    </xf>
    <xf numFmtId="0" fontId="58" fillId="0" borderId="31" xfId="0" applyFont="1" applyBorder="1" applyAlignment="1">
      <alignment horizontal="center" vertical="center"/>
    </xf>
    <xf numFmtId="0" fontId="58" fillId="0" borderId="24" xfId="0" applyFont="1" applyBorder="1" applyAlignment="1">
      <alignment horizontal="center" vertical="center"/>
    </xf>
    <xf numFmtId="0" fontId="58" fillId="0" borderId="29" xfId="0" applyFont="1" applyBorder="1" applyAlignment="1">
      <alignment horizontal="center" vertical="center"/>
    </xf>
    <xf numFmtId="0" fontId="58" fillId="0" borderId="15" xfId="0" applyFont="1" applyBorder="1" applyAlignment="1">
      <alignment horizontal="center" vertical="center"/>
    </xf>
    <xf numFmtId="0" fontId="58" fillId="0" borderId="139" xfId="0" applyFont="1" applyBorder="1" applyAlignment="1">
      <alignment horizontal="center" vertical="center"/>
    </xf>
    <xf numFmtId="0" fontId="60" fillId="0" borderId="32" xfId="0" applyFont="1" applyBorder="1" applyAlignment="1">
      <alignment horizontal="center" vertical="center" wrapText="1"/>
    </xf>
    <xf numFmtId="0" fontId="60" fillId="0" borderId="158" xfId="0" applyFont="1" applyBorder="1" applyAlignment="1">
      <alignment horizontal="center" vertical="center" wrapText="1"/>
    </xf>
    <xf numFmtId="0" fontId="58" fillId="0" borderId="32" xfId="0" applyFont="1" applyBorder="1" applyAlignment="1">
      <alignment horizontal="center" vertical="center" shrinkToFit="1"/>
    </xf>
    <xf numFmtId="0" fontId="58" fillId="0" borderId="158" xfId="0" applyFont="1" applyBorder="1" applyAlignment="1">
      <alignment horizontal="center" vertical="center" shrinkToFit="1"/>
    </xf>
    <xf numFmtId="0" fontId="58" fillId="0" borderId="46" xfId="0" applyFont="1" applyBorder="1" applyAlignment="1">
      <alignment horizontal="center" vertical="center"/>
    </xf>
    <xf numFmtId="0" fontId="58" fillId="0" borderId="147" xfId="0" applyFont="1" applyBorder="1" applyAlignment="1">
      <alignment horizontal="center" vertical="center"/>
    </xf>
    <xf numFmtId="0" fontId="58" fillId="0" borderId="144" xfId="0" applyFont="1" applyBorder="1" applyAlignment="1">
      <alignment horizontal="center" vertical="center" textRotation="255"/>
    </xf>
    <xf numFmtId="0" fontId="58" fillId="0" borderId="168" xfId="0" applyFont="1" applyBorder="1" applyAlignment="1">
      <alignment horizontal="center" vertical="center" textRotation="255"/>
    </xf>
    <xf numFmtId="0" fontId="58" fillId="0" borderId="115" xfId="0" applyFont="1" applyBorder="1" applyAlignment="1">
      <alignment horizontal="center" vertical="center" textRotation="255"/>
    </xf>
    <xf numFmtId="0" fontId="58" fillId="0" borderId="116" xfId="0" applyFont="1" applyBorder="1" applyAlignment="1">
      <alignment horizontal="center" vertical="center" textRotation="255"/>
    </xf>
    <xf numFmtId="0" fontId="58" fillId="0" borderId="0" xfId="0" applyFont="1" applyAlignment="1">
      <alignment horizontal="center" vertical="center" shrinkToFit="1"/>
    </xf>
    <xf numFmtId="0" fontId="58" fillId="0" borderId="110" xfId="0" applyFont="1" applyBorder="1" applyAlignment="1">
      <alignment horizontal="center" vertical="center"/>
    </xf>
    <xf numFmtId="0" fontId="58" fillId="0" borderId="34" xfId="0" applyFont="1" applyBorder="1" applyAlignment="1">
      <alignment horizontal="center" vertical="center"/>
    </xf>
    <xf numFmtId="0" fontId="58" fillId="0" borderId="101" xfId="0" applyFont="1" applyBorder="1" applyAlignment="1">
      <alignment horizontal="center" vertical="center"/>
    </xf>
    <xf numFmtId="0" fontId="59" fillId="0" borderId="0" xfId="0" applyFont="1" applyAlignment="1">
      <alignment horizontal="left" vertical="top" shrinkToFit="1"/>
    </xf>
    <xf numFmtId="0" fontId="10" fillId="0" borderId="0" xfId="0" applyFont="1" applyAlignment="1">
      <alignment horizontal="center" shrinkToFit="1"/>
    </xf>
    <xf numFmtId="56" fontId="10" fillId="0" borderId="12" xfId="0" applyNumberFormat="1" applyFont="1" applyBorder="1" applyAlignment="1">
      <alignment horizontal="center" vertical="center" shrinkToFit="1"/>
    </xf>
    <xf numFmtId="0" fontId="10" fillId="0" borderId="12" xfId="0" applyFont="1" applyBorder="1" applyAlignment="1">
      <alignment horizontal="center" vertical="center" shrinkToFit="1"/>
    </xf>
    <xf numFmtId="0" fontId="19" fillId="0" borderId="0" xfId="0" applyFont="1" applyAlignment="1">
      <alignment horizontal="center" vertical="center"/>
    </xf>
    <xf numFmtId="0" fontId="46" fillId="0" borderId="61" xfId="0" applyFont="1" applyBorder="1" applyAlignment="1">
      <alignment horizontal="center" vertical="center"/>
    </xf>
    <xf numFmtId="0" fontId="46" fillId="0" borderId="96" xfId="0" applyFont="1" applyBorder="1" applyAlignment="1">
      <alignment horizontal="center" vertical="center"/>
    </xf>
    <xf numFmtId="0" fontId="15" fillId="0" borderId="0" xfId="0" applyFont="1" applyAlignment="1">
      <alignment horizontal="center"/>
    </xf>
    <xf numFmtId="0" fontId="7" fillId="0" borderId="0" xfId="0" applyFont="1" applyAlignment="1">
      <alignment horizontal="center"/>
    </xf>
    <xf numFmtId="0" fontId="18" fillId="0" borderId="91" xfId="0" applyFont="1" applyBorder="1" applyAlignment="1">
      <alignment horizontal="center" vertical="center"/>
    </xf>
    <xf numFmtId="14" fontId="10" fillId="0" borderId="0" xfId="0" applyNumberFormat="1" applyFont="1" applyAlignment="1">
      <alignment horizontal="center" vertical="center" shrinkToFit="1"/>
    </xf>
    <xf numFmtId="0" fontId="10" fillId="0" borderId="0" xfId="0" applyFont="1" applyAlignment="1">
      <alignment horizontal="center" vertical="center" shrinkToFit="1"/>
    </xf>
    <xf numFmtId="0" fontId="14" fillId="0" borderId="151" xfId="0" applyFont="1" applyBorder="1" applyAlignment="1">
      <alignment horizontal="center"/>
    </xf>
    <xf numFmtId="0" fontId="14" fillId="0" borderId="152" xfId="0" applyFont="1" applyBorder="1" applyAlignment="1">
      <alignment horizontal="center"/>
    </xf>
    <xf numFmtId="0" fontId="55" fillId="24" borderId="34" xfId="0" applyFont="1" applyFill="1" applyBorder="1" applyAlignment="1">
      <alignment horizontal="right" vertical="top"/>
    </xf>
    <xf numFmtId="0" fontId="0" fillId="0" borderId="42" xfId="0" applyBorder="1" applyAlignment="1">
      <alignment horizontal="left" vertical="center" wrapText="1"/>
    </xf>
    <xf numFmtId="0" fontId="0" fillId="0" borderId="157" xfId="0" applyBorder="1" applyAlignment="1">
      <alignment horizontal="left" vertical="center" wrapText="1"/>
    </xf>
    <xf numFmtId="0" fontId="14" fillId="0" borderId="177" xfId="0" applyFont="1" applyBorder="1" applyAlignment="1">
      <alignment horizontal="center"/>
    </xf>
    <xf numFmtId="0" fontId="14" fillId="0" borderId="178" xfId="0" applyFont="1" applyBorder="1" applyAlignment="1">
      <alignment horizontal="center"/>
    </xf>
    <xf numFmtId="0" fontId="48" fillId="24" borderId="150" xfId="0" applyFont="1" applyFill="1" applyBorder="1" applyAlignment="1">
      <alignment horizontal="left" vertical="top" wrapText="1"/>
    </xf>
    <xf numFmtId="0" fontId="48" fillId="0" borderId="34" xfId="0" applyFont="1" applyBorder="1" applyAlignment="1">
      <alignment horizontal="center" vertical="top" wrapText="1"/>
    </xf>
    <xf numFmtId="0" fontId="48" fillId="0" borderId="101" xfId="0" applyFont="1" applyBorder="1" applyAlignment="1">
      <alignment horizontal="center" vertical="top" wrapText="1"/>
    </xf>
    <xf numFmtId="0" fontId="48" fillId="0" borderId="167" xfId="0" applyFont="1" applyBorder="1" applyAlignment="1">
      <alignment horizontal="left" vertical="top" wrapText="1"/>
    </xf>
    <xf numFmtId="0" fontId="48" fillId="0" borderId="166" xfId="0" applyFont="1" applyBorder="1" applyAlignment="1">
      <alignment horizontal="left" vertical="top" wrapText="1"/>
    </xf>
    <xf numFmtId="0" fontId="48" fillId="0" borderId="90" xfId="0" applyFont="1" applyBorder="1" applyAlignment="1">
      <alignment horizontal="left" vertical="top" wrapText="1"/>
    </xf>
    <xf numFmtId="0" fontId="48" fillId="0" borderId="100" xfId="0" applyFont="1" applyBorder="1" applyAlignment="1">
      <alignment horizontal="left" vertical="top" wrapText="1"/>
    </xf>
    <xf numFmtId="0" fontId="48" fillId="0" borderId="90" xfId="0" applyFont="1" applyBorder="1" applyAlignment="1">
      <alignment horizontal="center" vertical="top" wrapText="1"/>
    </xf>
    <xf numFmtId="0" fontId="48" fillId="0" borderId="100" xfId="0" applyFont="1" applyBorder="1" applyAlignment="1">
      <alignment horizontal="center" vertical="top" wrapText="1"/>
    </xf>
  </cellXfs>
  <cellStyles count="51">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メモ 2" xfId="28" xr:uid="{00000000-0005-0000-0000-00001B000000}"/>
    <cellStyle name="リンク セル 2" xfId="29" xr:uid="{00000000-0005-0000-0000-00001C000000}"/>
    <cellStyle name="悪い 2" xfId="30" xr:uid="{00000000-0005-0000-0000-00001D000000}"/>
    <cellStyle name="計算 2" xfId="31" xr:uid="{00000000-0005-0000-0000-00001E000000}"/>
    <cellStyle name="警告文 2" xfId="32" xr:uid="{00000000-0005-0000-0000-00001F000000}"/>
    <cellStyle name="桁区切り" xfId="46" builtinId="6"/>
    <cellStyle name="見出し 1 2" xfId="33" xr:uid="{00000000-0005-0000-0000-000021000000}"/>
    <cellStyle name="見出し 2 2" xfId="34" xr:uid="{00000000-0005-0000-0000-000022000000}"/>
    <cellStyle name="見出し 3 2" xfId="35" xr:uid="{00000000-0005-0000-0000-000023000000}"/>
    <cellStyle name="見出し 4 2" xfId="36" xr:uid="{00000000-0005-0000-0000-000024000000}"/>
    <cellStyle name="集計 2" xfId="37" xr:uid="{00000000-0005-0000-0000-000025000000}"/>
    <cellStyle name="出力 2" xfId="38" xr:uid="{00000000-0005-0000-0000-000026000000}"/>
    <cellStyle name="説明文 2" xfId="39" xr:uid="{00000000-0005-0000-0000-000027000000}"/>
    <cellStyle name="入力 2" xfId="40" xr:uid="{00000000-0005-0000-0000-000028000000}"/>
    <cellStyle name="標準" xfId="0" builtinId="0"/>
    <cellStyle name="標準 2" xfId="41" xr:uid="{00000000-0005-0000-0000-00002A000000}"/>
    <cellStyle name="標準 3" xfId="42" xr:uid="{00000000-0005-0000-0000-00002B000000}"/>
    <cellStyle name="標準 4" xfId="43" xr:uid="{00000000-0005-0000-0000-00002C000000}"/>
    <cellStyle name="標準 5" xfId="47" xr:uid="{00000000-0005-0000-0000-00002D000000}"/>
    <cellStyle name="標準 6" xfId="48" xr:uid="{00000000-0005-0000-0000-00002E000000}"/>
    <cellStyle name="標準 6 2" xfId="50" xr:uid="{10B53A39-9449-451E-94AC-C1269587B892}"/>
    <cellStyle name="標準 7" xfId="49" xr:uid="{49BB658E-F9B6-49DC-98B9-14142852764E}"/>
    <cellStyle name="未定義" xfId="44" xr:uid="{00000000-0005-0000-0000-00002F000000}"/>
    <cellStyle name="良い 2" xfId="45" xr:uid="{00000000-0005-0000-0000-000030000000}"/>
  </cellStyles>
  <dxfs count="0"/>
  <tableStyles count="0" defaultTableStyle="TableStyleMedium2"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866589</xdr:colOff>
      <xdr:row>9</xdr:row>
      <xdr:rowOff>141941</xdr:rowOff>
    </xdr:from>
    <xdr:to>
      <xdr:col>10</xdr:col>
      <xdr:colOff>370329</xdr:colOff>
      <xdr:row>12</xdr:row>
      <xdr:rowOff>125933</xdr:rowOff>
    </xdr:to>
    <xdr:sp macro="" textlink="">
      <xdr:nvSpPr>
        <xdr:cNvPr id="5" name="テキスト ボックス 4">
          <a:extLst>
            <a:ext uri="{FF2B5EF4-FFF2-40B4-BE49-F238E27FC236}">
              <a16:creationId xmlns:a16="http://schemas.microsoft.com/office/drawing/2014/main" id="{9BDAC1C8-0219-47EC-8D33-F47EBAEEF71E}"/>
            </a:ext>
          </a:extLst>
        </xdr:cNvPr>
        <xdr:cNvSpPr txBox="1"/>
      </xdr:nvSpPr>
      <xdr:spPr>
        <a:xfrm>
          <a:off x="1822824" y="1800412"/>
          <a:ext cx="3410858" cy="5218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t>荒天予報の為、レース中止</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269875</xdr:colOff>
      <xdr:row>40</xdr:row>
      <xdr:rowOff>41275</xdr:rowOff>
    </xdr:from>
    <xdr:to>
      <xdr:col>3</xdr:col>
      <xdr:colOff>851513</xdr:colOff>
      <xdr:row>41</xdr:row>
      <xdr:rowOff>130507</xdr:rowOff>
    </xdr:to>
    <xdr:sp macro="" textlink="">
      <xdr:nvSpPr>
        <xdr:cNvPr id="2" name="Text Box 1">
          <a:extLst>
            <a:ext uri="{FF2B5EF4-FFF2-40B4-BE49-F238E27FC236}">
              <a16:creationId xmlns:a16="http://schemas.microsoft.com/office/drawing/2014/main" id="{00000000-0008-0000-0700-000002000000}"/>
            </a:ext>
          </a:extLst>
        </xdr:cNvPr>
        <xdr:cNvSpPr txBox="1">
          <a:spLocks noChangeArrowheads="1"/>
        </xdr:cNvSpPr>
      </xdr:nvSpPr>
      <xdr:spPr bwMode="auto">
        <a:xfrm>
          <a:off x="1152525" y="6753225"/>
          <a:ext cx="581025" cy="276225"/>
        </a:xfrm>
        <a:prstGeom prst="rect">
          <a:avLst/>
        </a:prstGeom>
        <a:solidFill>
          <a:srgbClr val="FFFFFF"/>
        </a:solidFill>
        <a:ln w="9525" cap="rnd">
          <a:noFill/>
          <a:prstDash val="sysDot"/>
          <a:miter lim="800000"/>
          <a:headEnd/>
          <a:tailEnd/>
        </a:ln>
      </xdr:spPr>
      <xdr:txBody>
        <a:bodyPr vertOverflow="clip" wrap="square" lIns="72000" tIns="36000" rIns="0" bIns="36000" anchor="t" upright="1"/>
        <a:lstStyle/>
        <a:p>
          <a:pPr algn="l" rtl="0">
            <a:defRPr sz="1000"/>
          </a:pPr>
          <a:r>
            <a:rPr lang="ja-JP" altLang="en-US" sz="1100" b="0" i="0" u="none" strike="noStrike" baseline="0">
              <a:solidFill>
                <a:srgbClr val="000000"/>
              </a:solidFill>
              <a:latin typeface="HGSｺﾞｼｯｸM" panose="020B0600000000000000" pitchFamily="50" charset="-128"/>
              <a:ea typeface="HGSｺﾞｼｯｸM" panose="020B0600000000000000" pitchFamily="50" charset="-128"/>
            </a:rPr>
            <a:t>賞　品</a:t>
          </a:r>
        </a:p>
      </xdr:txBody>
    </xdr:sp>
    <xdr:clientData/>
  </xdr:twoCellAnchor>
  <xdr:twoCellAnchor>
    <xdr:from>
      <xdr:col>13</xdr:col>
      <xdr:colOff>22411</xdr:colOff>
      <xdr:row>10</xdr:row>
      <xdr:rowOff>149412</xdr:rowOff>
    </xdr:from>
    <xdr:to>
      <xdr:col>13</xdr:col>
      <xdr:colOff>22411</xdr:colOff>
      <xdr:row>11</xdr:row>
      <xdr:rowOff>149413</xdr:rowOff>
    </xdr:to>
    <xdr:sp macro="" textlink="">
      <xdr:nvSpPr>
        <xdr:cNvPr id="3" name="テキスト 204">
          <a:extLst>
            <a:ext uri="{FF2B5EF4-FFF2-40B4-BE49-F238E27FC236}">
              <a16:creationId xmlns:a16="http://schemas.microsoft.com/office/drawing/2014/main" id="{00000000-0008-0000-0700-000003000000}"/>
            </a:ext>
          </a:extLst>
        </xdr:cNvPr>
        <xdr:cNvSpPr txBox="1">
          <a:spLocks noChangeArrowheads="1"/>
        </xdr:cNvSpPr>
      </xdr:nvSpPr>
      <xdr:spPr bwMode="auto">
        <a:xfrm>
          <a:off x="6447117" y="2375647"/>
          <a:ext cx="0" cy="17929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HGSｺﾞｼｯｸM" panose="020B0600000000000000" pitchFamily="50" charset="-128"/>
              <a:ea typeface="HGSｺﾞｼｯｸM" panose="020B0600000000000000" pitchFamily="50" charset="-128"/>
            </a:rPr>
            <a:t>①</a:t>
          </a:r>
        </a:p>
        <a:p>
          <a:pPr algn="l" rtl="0">
            <a:defRPr sz="1000"/>
          </a:pPr>
          <a:endParaRPr lang="ja-JP" altLang="en-US" sz="1100" b="0" i="0" u="none" strike="noStrike" baseline="0">
            <a:solidFill>
              <a:srgbClr val="000000"/>
            </a:solidFill>
            <a:latin typeface="HGSｺﾞｼｯｸM" panose="020B0600000000000000" pitchFamily="50" charset="-128"/>
            <a:ea typeface="HGSｺﾞｼｯｸM" panose="020B0600000000000000" pitchFamily="50" charset="-128"/>
          </a:endParaRPr>
        </a:p>
      </xdr:txBody>
    </xdr:sp>
    <xdr:clientData/>
  </xdr:twoCellAnchor>
  <xdr:twoCellAnchor>
    <xdr:from>
      <xdr:col>14</xdr:col>
      <xdr:colOff>0</xdr:colOff>
      <xdr:row>15</xdr:row>
      <xdr:rowOff>0</xdr:rowOff>
    </xdr:from>
    <xdr:to>
      <xdr:col>14</xdr:col>
      <xdr:colOff>0</xdr:colOff>
      <xdr:row>16</xdr:row>
      <xdr:rowOff>0</xdr:rowOff>
    </xdr:to>
    <xdr:sp macro="" textlink="">
      <xdr:nvSpPr>
        <xdr:cNvPr id="4" name="テキスト 204">
          <a:extLst>
            <a:ext uri="{FF2B5EF4-FFF2-40B4-BE49-F238E27FC236}">
              <a16:creationId xmlns:a16="http://schemas.microsoft.com/office/drawing/2014/main" id="{00000000-0008-0000-0700-000004000000}"/>
            </a:ext>
          </a:extLst>
        </xdr:cNvPr>
        <xdr:cNvSpPr txBox="1">
          <a:spLocks noChangeArrowheads="1"/>
        </xdr:cNvSpPr>
      </xdr:nvSpPr>
      <xdr:spPr bwMode="auto">
        <a:xfrm>
          <a:off x="6705600" y="3086100"/>
          <a:ext cx="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HGSｺﾞｼｯｸM" panose="020B0600000000000000" pitchFamily="50" charset="-128"/>
              <a:ea typeface="HGSｺﾞｼｯｸM" panose="020B0600000000000000" pitchFamily="50" charset="-128"/>
            </a:rPr>
            <a:t>①</a:t>
          </a:r>
        </a:p>
        <a:p>
          <a:pPr algn="l" rtl="0">
            <a:defRPr sz="1000"/>
          </a:pPr>
          <a:endParaRPr lang="ja-JP" altLang="en-US" sz="1100" b="0" i="0" u="none" strike="noStrike" baseline="0">
            <a:solidFill>
              <a:srgbClr val="000000"/>
            </a:solidFill>
            <a:latin typeface="HGSｺﾞｼｯｸM" panose="020B0600000000000000" pitchFamily="50" charset="-128"/>
            <a:ea typeface="HGSｺﾞｼｯｸM" panose="020B0600000000000000" pitchFamily="50" charset="-128"/>
          </a:endParaRPr>
        </a:p>
      </xdr:txBody>
    </xdr:sp>
    <xdr:clientData/>
  </xdr:twoCellAnchor>
  <xdr:twoCellAnchor>
    <xdr:from>
      <xdr:col>14</xdr:col>
      <xdr:colOff>0</xdr:colOff>
      <xdr:row>22</xdr:row>
      <xdr:rowOff>6350</xdr:rowOff>
    </xdr:from>
    <xdr:to>
      <xdr:col>14</xdr:col>
      <xdr:colOff>0</xdr:colOff>
      <xdr:row>23</xdr:row>
      <xdr:rowOff>3113</xdr:rowOff>
    </xdr:to>
    <xdr:sp macro="" textlink="">
      <xdr:nvSpPr>
        <xdr:cNvPr id="7" name="テキスト 204">
          <a:extLst>
            <a:ext uri="{FF2B5EF4-FFF2-40B4-BE49-F238E27FC236}">
              <a16:creationId xmlns:a16="http://schemas.microsoft.com/office/drawing/2014/main" id="{00000000-0008-0000-0700-000007000000}"/>
            </a:ext>
          </a:extLst>
        </xdr:cNvPr>
        <xdr:cNvSpPr txBox="1">
          <a:spLocks noChangeArrowheads="1"/>
        </xdr:cNvSpPr>
      </xdr:nvSpPr>
      <xdr:spPr bwMode="auto">
        <a:xfrm>
          <a:off x="6705600" y="4362450"/>
          <a:ext cx="0" cy="171450"/>
        </a:xfrm>
        <a:prstGeom prst="rect">
          <a:avLst/>
        </a:prstGeom>
        <a:noFill/>
        <a:ln w="9525">
          <a:noFill/>
          <a:miter lim="800000"/>
          <a:headEnd/>
          <a:tailEnd/>
        </a:ln>
      </xdr:spPr>
      <xdr:txBody>
        <a:bodyPr vertOverflow="clip" wrap="square" lIns="27432" tIns="18288" rIns="0" bIns="0" anchor="t" upright="1"/>
        <a:lstStyle/>
        <a:p>
          <a:pPr algn="l" rtl="0">
            <a:defRPr sz="1000"/>
          </a:pPr>
          <a:endParaRPr lang="en-US" altLang="ja-JP" sz="1100" b="0" i="0" u="none" strike="noStrike" baseline="0">
            <a:solidFill>
              <a:srgbClr val="000000"/>
            </a:solidFill>
            <a:latin typeface="HGSｺﾞｼｯｸM" panose="020B0600000000000000" pitchFamily="50" charset="-128"/>
            <a:ea typeface="HGSｺﾞｼｯｸM" panose="020B0600000000000000" pitchFamily="50" charset="-128"/>
          </a:endParaRPr>
        </a:p>
        <a:p>
          <a:pPr algn="l" rtl="0">
            <a:defRPr sz="1000"/>
          </a:pPr>
          <a:endParaRPr lang="en-US" altLang="ja-JP" sz="1100" b="0" i="0" u="none" strike="noStrike" baseline="0">
            <a:solidFill>
              <a:srgbClr val="000000"/>
            </a:solidFill>
            <a:latin typeface="HGSｺﾞｼｯｸM" panose="020B0600000000000000" pitchFamily="50" charset="-128"/>
            <a:ea typeface="HGSｺﾞｼｯｸM" panose="020B0600000000000000" pitchFamily="50" charset="-128"/>
          </a:endParaRPr>
        </a:p>
        <a:p>
          <a:pPr algn="l" rtl="0">
            <a:defRPr sz="1000"/>
          </a:pPr>
          <a:r>
            <a:rPr lang="en-US" altLang="ja-JP" sz="1100" b="0" i="0" u="none" strike="noStrike" baseline="0">
              <a:solidFill>
                <a:srgbClr val="000000"/>
              </a:solidFill>
              <a:latin typeface="HGSｺﾞｼｯｸM" panose="020B0600000000000000" pitchFamily="50" charset="-128"/>
              <a:ea typeface="HGSｺﾞｼｯｸM" panose="020B0600000000000000" pitchFamily="50" charset="-128"/>
            </a:rPr>
            <a:t>B</a:t>
          </a:r>
        </a:p>
        <a:p>
          <a:pPr algn="l" rtl="0">
            <a:defRPr sz="1000"/>
          </a:pPr>
          <a:r>
            <a:rPr lang="en-US" altLang="ja-JP" sz="1100" b="0" i="0" u="none" strike="noStrike" baseline="0">
              <a:solidFill>
                <a:srgbClr val="000000"/>
              </a:solidFill>
              <a:latin typeface="HGSｺﾞｼｯｸM" panose="020B0600000000000000" pitchFamily="50" charset="-128"/>
              <a:ea typeface="HGSｺﾞｼｯｸM" panose="020B0600000000000000" pitchFamily="50" charset="-128"/>
            </a:rPr>
            <a:t>B</a:t>
          </a:r>
        </a:p>
      </xdr:txBody>
    </xdr:sp>
    <xdr:clientData/>
  </xdr:twoCellAnchor>
  <xdr:twoCellAnchor>
    <xdr:from>
      <xdr:col>24</xdr:col>
      <xdr:colOff>269875</xdr:colOff>
      <xdr:row>40</xdr:row>
      <xdr:rowOff>41275</xdr:rowOff>
    </xdr:from>
    <xdr:to>
      <xdr:col>24</xdr:col>
      <xdr:colOff>851782</xdr:colOff>
      <xdr:row>41</xdr:row>
      <xdr:rowOff>130507</xdr:rowOff>
    </xdr:to>
    <xdr:sp macro="" textlink="">
      <xdr:nvSpPr>
        <xdr:cNvPr id="16" name="Text Box 1">
          <a:extLst>
            <a:ext uri="{FF2B5EF4-FFF2-40B4-BE49-F238E27FC236}">
              <a16:creationId xmlns:a16="http://schemas.microsoft.com/office/drawing/2014/main" id="{00000000-0008-0000-0700-000010000000}"/>
            </a:ext>
          </a:extLst>
        </xdr:cNvPr>
        <xdr:cNvSpPr txBox="1">
          <a:spLocks noChangeArrowheads="1"/>
        </xdr:cNvSpPr>
      </xdr:nvSpPr>
      <xdr:spPr bwMode="auto">
        <a:xfrm>
          <a:off x="1381125" y="6838950"/>
          <a:ext cx="581025" cy="276225"/>
        </a:xfrm>
        <a:prstGeom prst="rect">
          <a:avLst/>
        </a:prstGeom>
        <a:solidFill>
          <a:srgbClr val="FFFFFF"/>
        </a:solidFill>
        <a:ln w="9525" cap="rnd">
          <a:noFill/>
          <a:prstDash val="sysDot"/>
          <a:miter lim="800000"/>
          <a:headEnd/>
          <a:tailEnd/>
        </a:ln>
      </xdr:spPr>
      <xdr:txBody>
        <a:bodyPr vertOverflow="clip" wrap="square" lIns="72000" tIns="36000" rIns="0" bIns="36000" anchor="t" upright="1"/>
        <a:lstStyle/>
        <a:p>
          <a:pPr algn="l" rtl="0">
            <a:defRPr sz="1000"/>
          </a:pPr>
          <a:r>
            <a:rPr lang="ja-JP" altLang="en-US" sz="1100" b="0" i="0" u="none" strike="noStrike" baseline="0">
              <a:solidFill>
                <a:srgbClr val="000000"/>
              </a:solidFill>
              <a:latin typeface="ＭＳ 明朝"/>
              <a:ea typeface="ＭＳ 明朝"/>
            </a:rPr>
            <a:t>賞　品</a:t>
          </a:r>
        </a:p>
      </xdr:txBody>
    </xdr:sp>
    <xdr:clientData/>
  </xdr:twoCellAnchor>
  <xdr:twoCellAnchor>
    <xdr:from>
      <xdr:col>4</xdr:col>
      <xdr:colOff>120650</xdr:colOff>
      <xdr:row>37</xdr:row>
      <xdr:rowOff>158750</xdr:rowOff>
    </xdr:from>
    <xdr:to>
      <xdr:col>4</xdr:col>
      <xdr:colOff>266351</xdr:colOff>
      <xdr:row>38</xdr:row>
      <xdr:rowOff>153459</xdr:rowOff>
    </xdr:to>
    <xdr:sp macro="" textlink="">
      <xdr:nvSpPr>
        <xdr:cNvPr id="23" name="テキスト 204">
          <a:extLst>
            <a:ext uri="{FF2B5EF4-FFF2-40B4-BE49-F238E27FC236}">
              <a16:creationId xmlns:a16="http://schemas.microsoft.com/office/drawing/2014/main" id="{00000000-0008-0000-0700-000017000000}"/>
            </a:ext>
          </a:extLst>
        </xdr:cNvPr>
        <xdr:cNvSpPr txBox="1">
          <a:spLocks noChangeArrowheads="1"/>
        </xdr:cNvSpPr>
      </xdr:nvSpPr>
      <xdr:spPr bwMode="auto">
        <a:xfrm>
          <a:off x="2273300" y="7372350"/>
          <a:ext cx="145701" cy="172509"/>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HGSｺﾞｼｯｸM" panose="020B0600000000000000" pitchFamily="50" charset="-128"/>
              <a:ea typeface="HGSｺﾞｼｯｸM" panose="020B0600000000000000" pitchFamily="50" charset="-128"/>
            </a:rPr>
            <a:t>C</a:t>
          </a:r>
        </a:p>
      </xdr:txBody>
    </xdr:sp>
    <xdr:clientData/>
  </xdr:twoCellAnchor>
  <xdr:twoCellAnchor>
    <xdr:from>
      <xdr:col>6</xdr:col>
      <xdr:colOff>48184</xdr:colOff>
      <xdr:row>14</xdr:row>
      <xdr:rowOff>6350</xdr:rowOff>
    </xdr:from>
    <xdr:to>
      <xdr:col>6</xdr:col>
      <xdr:colOff>193885</xdr:colOff>
      <xdr:row>14</xdr:row>
      <xdr:rowOff>178859</xdr:rowOff>
    </xdr:to>
    <xdr:sp macro="" textlink="">
      <xdr:nvSpPr>
        <xdr:cNvPr id="5" name="テキスト 204">
          <a:extLst>
            <a:ext uri="{FF2B5EF4-FFF2-40B4-BE49-F238E27FC236}">
              <a16:creationId xmlns:a16="http://schemas.microsoft.com/office/drawing/2014/main" id="{95A0FE10-94B7-CC95-B327-CC3538FBFA45}"/>
            </a:ext>
          </a:extLst>
        </xdr:cNvPr>
        <xdr:cNvSpPr txBox="1">
          <a:spLocks noChangeArrowheads="1"/>
        </xdr:cNvSpPr>
      </xdr:nvSpPr>
      <xdr:spPr bwMode="auto">
        <a:xfrm>
          <a:off x="3305360" y="2591174"/>
          <a:ext cx="145701" cy="172509"/>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HGSｺﾞｼｯｸM" panose="020B0600000000000000" pitchFamily="50" charset="-128"/>
              <a:ea typeface="HGSｺﾞｼｯｸM" panose="020B0600000000000000" pitchFamily="50" charset="-128"/>
            </a:rPr>
            <a:t>B	</a:t>
          </a:r>
        </a:p>
      </xdr:txBody>
    </xdr:sp>
    <xdr:clientData/>
  </xdr:twoCellAnchor>
  <xdr:twoCellAnchor editAs="oneCell">
    <xdr:from>
      <xdr:col>6</xdr:col>
      <xdr:colOff>535268</xdr:colOff>
      <xdr:row>6</xdr:row>
      <xdr:rowOff>165099</xdr:rowOff>
    </xdr:from>
    <xdr:to>
      <xdr:col>7</xdr:col>
      <xdr:colOff>250691</xdr:colOff>
      <xdr:row>7</xdr:row>
      <xdr:rowOff>164098</xdr:rowOff>
    </xdr:to>
    <xdr:pic>
      <xdr:nvPicPr>
        <xdr:cNvPr id="6" name="図 5">
          <a:extLst>
            <a:ext uri="{FF2B5EF4-FFF2-40B4-BE49-F238E27FC236}">
              <a16:creationId xmlns:a16="http://schemas.microsoft.com/office/drawing/2014/main" id="{BA5FE3AA-6FB2-0A94-1E83-CFF721351210}"/>
            </a:ext>
          </a:extLst>
        </xdr:cNvPr>
        <xdr:cNvPicPr>
          <a:picLocks noChangeAspect="1"/>
        </xdr:cNvPicPr>
      </xdr:nvPicPr>
      <xdr:blipFill>
        <a:blip xmlns:r="http://schemas.openxmlformats.org/officeDocument/2006/relationships" r:embed="rId1"/>
        <a:stretch>
          <a:fillRect/>
        </a:stretch>
      </xdr:blipFill>
      <xdr:spPr>
        <a:xfrm>
          <a:off x="3792444" y="1674158"/>
          <a:ext cx="268247" cy="178293"/>
        </a:xfrm>
        <a:prstGeom prst="rect">
          <a:avLst/>
        </a:prstGeom>
      </xdr:spPr>
    </xdr:pic>
    <xdr:clientData/>
  </xdr:twoCellAnchor>
  <xdr:twoCellAnchor editAs="oneCell">
    <xdr:from>
      <xdr:col>7</xdr:col>
      <xdr:colOff>545353</xdr:colOff>
      <xdr:row>12</xdr:row>
      <xdr:rowOff>171823</xdr:rowOff>
    </xdr:from>
    <xdr:to>
      <xdr:col>8</xdr:col>
      <xdr:colOff>260776</xdr:colOff>
      <xdr:row>13</xdr:row>
      <xdr:rowOff>169328</xdr:rowOff>
    </xdr:to>
    <xdr:pic>
      <xdr:nvPicPr>
        <xdr:cNvPr id="8" name="図 7">
          <a:extLst>
            <a:ext uri="{FF2B5EF4-FFF2-40B4-BE49-F238E27FC236}">
              <a16:creationId xmlns:a16="http://schemas.microsoft.com/office/drawing/2014/main" id="{7CDD5A22-52BF-4400-9DAB-C5B391E28593}"/>
            </a:ext>
          </a:extLst>
        </xdr:cNvPr>
        <xdr:cNvPicPr>
          <a:picLocks noChangeAspect="1"/>
        </xdr:cNvPicPr>
      </xdr:nvPicPr>
      <xdr:blipFill>
        <a:blip xmlns:r="http://schemas.openxmlformats.org/officeDocument/2006/relationships" r:embed="rId1"/>
        <a:stretch>
          <a:fillRect/>
        </a:stretch>
      </xdr:blipFill>
      <xdr:spPr>
        <a:xfrm>
          <a:off x="4355353" y="2756647"/>
          <a:ext cx="268247" cy="176799"/>
        </a:xfrm>
        <a:prstGeom prst="rect">
          <a:avLst/>
        </a:prstGeom>
      </xdr:spPr>
    </xdr:pic>
    <xdr:clientData/>
  </xdr:twoCellAnchor>
  <xdr:twoCellAnchor editAs="oneCell">
    <xdr:from>
      <xdr:col>10</xdr:col>
      <xdr:colOff>0</xdr:colOff>
      <xdr:row>38</xdr:row>
      <xdr:rowOff>0</xdr:rowOff>
    </xdr:from>
    <xdr:to>
      <xdr:col>10</xdr:col>
      <xdr:colOff>268247</xdr:colOff>
      <xdr:row>38</xdr:row>
      <xdr:rowOff>176799</xdr:rowOff>
    </xdr:to>
    <xdr:pic>
      <xdr:nvPicPr>
        <xdr:cNvPr id="9" name="図 8">
          <a:extLst>
            <a:ext uri="{FF2B5EF4-FFF2-40B4-BE49-F238E27FC236}">
              <a16:creationId xmlns:a16="http://schemas.microsoft.com/office/drawing/2014/main" id="{F4B1675C-C4F1-40A1-BD44-84F6F5C3813E}"/>
            </a:ext>
          </a:extLst>
        </xdr:cNvPr>
        <xdr:cNvPicPr>
          <a:picLocks noChangeAspect="1"/>
        </xdr:cNvPicPr>
      </xdr:nvPicPr>
      <xdr:blipFill>
        <a:blip xmlns:r="http://schemas.openxmlformats.org/officeDocument/2006/relationships" r:embed="rId1"/>
        <a:stretch>
          <a:fillRect/>
        </a:stretch>
      </xdr:blipFill>
      <xdr:spPr>
        <a:xfrm>
          <a:off x="5467350" y="7213600"/>
          <a:ext cx="268247" cy="176799"/>
        </a:xfrm>
        <a:prstGeom prst="rect">
          <a:avLst/>
        </a:prstGeom>
      </xdr:spPr>
    </xdr:pic>
    <xdr:clientData/>
  </xdr:twoCellAnchor>
  <xdr:twoCellAnchor editAs="oneCell">
    <xdr:from>
      <xdr:col>9</xdr:col>
      <xdr:colOff>127000</xdr:colOff>
      <xdr:row>37</xdr:row>
      <xdr:rowOff>146050</xdr:rowOff>
    </xdr:from>
    <xdr:to>
      <xdr:col>9</xdr:col>
      <xdr:colOff>395247</xdr:colOff>
      <xdr:row>38</xdr:row>
      <xdr:rowOff>145049</xdr:rowOff>
    </xdr:to>
    <xdr:pic>
      <xdr:nvPicPr>
        <xdr:cNvPr id="10" name="図 9">
          <a:extLst>
            <a:ext uri="{FF2B5EF4-FFF2-40B4-BE49-F238E27FC236}">
              <a16:creationId xmlns:a16="http://schemas.microsoft.com/office/drawing/2014/main" id="{9041237F-6F63-476C-8E9D-FC5184492100}"/>
            </a:ext>
          </a:extLst>
        </xdr:cNvPr>
        <xdr:cNvPicPr>
          <a:picLocks noChangeAspect="1"/>
        </xdr:cNvPicPr>
      </xdr:nvPicPr>
      <xdr:blipFill>
        <a:blip xmlns:r="http://schemas.openxmlformats.org/officeDocument/2006/relationships" r:embed="rId1"/>
        <a:stretch>
          <a:fillRect/>
        </a:stretch>
      </xdr:blipFill>
      <xdr:spPr>
        <a:xfrm>
          <a:off x="5041900" y="7181850"/>
          <a:ext cx="268247" cy="176799"/>
        </a:xfrm>
        <a:prstGeom prst="rect">
          <a:avLst/>
        </a:prstGeom>
      </xdr:spPr>
    </xdr:pic>
    <xdr:clientData/>
  </xdr:twoCellAnchor>
  <xdr:twoCellAnchor editAs="oneCell">
    <xdr:from>
      <xdr:col>4</xdr:col>
      <xdr:colOff>514350</xdr:colOff>
      <xdr:row>8</xdr:row>
      <xdr:rowOff>6350</xdr:rowOff>
    </xdr:from>
    <xdr:to>
      <xdr:col>5</xdr:col>
      <xdr:colOff>230147</xdr:colOff>
      <xdr:row>9</xdr:row>
      <xdr:rowOff>5349</xdr:rowOff>
    </xdr:to>
    <xdr:pic>
      <xdr:nvPicPr>
        <xdr:cNvPr id="11" name="図 10">
          <a:extLst>
            <a:ext uri="{FF2B5EF4-FFF2-40B4-BE49-F238E27FC236}">
              <a16:creationId xmlns:a16="http://schemas.microsoft.com/office/drawing/2014/main" id="{58E9FFE3-40A1-4CD5-8A0F-FDEEC8AB5DFA}"/>
            </a:ext>
          </a:extLst>
        </xdr:cNvPr>
        <xdr:cNvPicPr>
          <a:picLocks noChangeAspect="1"/>
        </xdr:cNvPicPr>
      </xdr:nvPicPr>
      <xdr:blipFill>
        <a:blip xmlns:r="http://schemas.openxmlformats.org/officeDocument/2006/relationships" r:embed="rId1"/>
        <a:stretch>
          <a:fillRect/>
        </a:stretch>
      </xdr:blipFill>
      <xdr:spPr>
        <a:xfrm>
          <a:off x="2667000" y="1689100"/>
          <a:ext cx="268247" cy="176799"/>
        </a:xfrm>
        <a:prstGeom prst="rect">
          <a:avLst/>
        </a:prstGeom>
      </xdr:spPr>
    </xdr:pic>
    <xdr:clientData/>
  </xdr:twoCellAnchor>
  <xdr:twoCellAnchor>
    <xdr:from>
      <xdr:col>4</xdr:col>
      <xdr:colOff>59391</xdr:colOff>
      <xdr:row>24</xdr:row>
      <xdr:rowOff>748</xdr:rowOff>
    </xdr:from>
    <xdr:to>
      <xdr:col>4</xdr:col>
      <xdr:colOff>205092</xdr:colOff>
      <xdr:row>24</xdr:row>
      <xdr:rowOff>174751</xdr:rowOff>
    </xdr:to>
    <xdr:sp macro="" textlink="">
      <xdr:nvSpPr>
        <xdr:cNvPr id="12" name="テキスト 204">
          <a:extLst>
            <a:ext uri="{FF2B5EF4-FFF2-40B4-BE49-F238E27FC236}">
              <a16:creationId xmlns:a16="http://schemas.microsoft.com/office/drawing/2014/main" id="{AFFC9ECF-B91D-4ABE-9284-1484369F1261}"/>
            </a:ext>
          </a:extLst>
        </xdr:cNvPr>
        <xdr:cNvSpPr txBox="1">
          <a:spLocks noChangeArrowheads="1"/>
        </xdr:cNvSpPr>
      </xdr:nvSpPr>
      <xdr:spPr bwMode="auto">
        <a:xfrm>
          <a:off x="2210920" y="4019924"/>
          <a:ext cx="145701" cy="174003"/>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HGSｺﾞｼｯｸM" panose="020B0600000000000000" pitchFamily="50" charset="-128"/>
              <a:ea typeface="HGSｺﾞｼｯｸM" panose="020B0600000000000000" pitchFamily="50" charset="-128"/>
            </a:rPr>
            <a:t>C</a:t>
          </a:r>
        </a:p>
      </xdr:txBody>
    </xdr:sp>
    <xdr:clientData/>
  </xdr:twoCellAnchor>
  <xdr:twoCellAnchor>
    <xdr:from>
      <xdr:col>27</xdr:col>
      <xdr:colOff>126999</xdr:colOff>
      <xdr:row>7</xdr:row>
      <xdr:rowOff>36285</xdr:rowOff>
    </xdr:from>
    <xdr:to>
      <xdr:col>27</xdr:col>
      <xdr:colOff>453571</xdr:colOff>
      <xdr:row>19</xdr:row>
      <xdr:rowOff>54428</xdr:rowOff>
    </xdr:to>
    <xdr:sp macro="" textlink="">
      <xdr:nvSpPr>
        <xdr:cNvPr id="13" name="テキスト ボックス 12">
          <a:extLst>
            <a:ext uri="{FF2B5EF4-FFF2-40B4-BE49-F238E27FC236}">
              <a16:creationId xmlns:a16="http://schemas.microsoft.com/office/drawing/2014/main" id="{7AB27540-EC45-4CA9-EB5E-44D88DEC5DB7}"/>
            </a:ext>
          </a:extLst>
        </xdr:cNvPr>
        <xdr:cNvSpPr txBox="1"/>
      </xdr:nvSpPr>
      <xdr:spPr>
        <a:xfrm>
          <a:off x="15684499" y="1714499"/>
          <a:ext cx="326572" cy="21952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100"/>
            <a:t>荒天予報の為レース中止</a:t>
          </a:r>
        </a:p>
      </xdr:txBody>
    </xdr:sp>
    <xdr:clientData/>
  </xdr:twoCellAnchor>
  <xdr:twoCellAnchor>
    <xdr:from>
      <xdr:col>29</xdr:col>
      <xdr:colOff>145142</xdr:colOff>
      <xdr:row>7</xdr:row>
      <xdr:rowOff>27214</xdr:rowOff>
    </xdr:from>
    <xdr:to>
      <xdr:col>29</xdr:col>
      <xdr:colOff>471714</xdr:colOff>
      <xdr:row>19</xdr:row>
      <xdr:rowOff>45357</xdr:rowOff>
    </xdr:to>
    <xdr:sp macro="" textlink="">
      <xdr:nvSpPr>
        <xdr:cNvPr id="14" name="テキスト ボックス 13">
          <a:extLst>
            <a:ext uri="{FF2B5EF4-FFF2-40B4-BE49-F238E27FC236}">
              <a16:creationId xmlns:a16="http://schemas.microsoft.com/office/drawing/2014/main" id="{2D0B4D50-2623-488F-A6F9-887FFCD0DAAB}"/>
            </a:ext>
          </a:extLst>
        </xdr:cNvPr>
        <xdr:cNvSpPr txBox="1"/>
      </xdr:nvSpPr>
      <xdr:spPr>
        <a:xfrm>
          <a:off x="16809356" y="1705428"/>
          <a:ext cx="326572" cy="21952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100"/>
            <a:t>荒天予報の為レース中止</a:t>
          </a:r>
        </a:p>
      </xdr:txBody>
    </xdr:sp>
    <xdr:clientData/>
  </xdr:twoCellAnchor>
  <xdr:twoCellAnchor>
    <xdr:from>
      <xdr:col>30</xdr:col>
      <xdr:colOff>145143</xdr:colOff>
      <xdr:row>7</xdr:row>
      <xdr:rowOff>36286</xdr:rowOff>
    </xdr:from>
    <xdr:to>
      <xdr:col>30</xdr:col>
      <xdr:colOff>471715</xdr:colOff>
      <xdr:row>19</xdr:row>
      <xdr:rowOff>54429</xdr:rowOff>
    </xdr:to>
    <xdr:sp macro="" textlink="">
      <xdr:nvSpPr>
        <xdr:cNvPr id="15" name="テキスト ボックス 14">
          <a:extLst>
            <a:ext uri="{FF2B5EF4-FFF2-40B4-BE49-F238E27FC236}">
              <a16:creationId xmlns:a16="http://schemas.microsoft.com/office/drawing/2014/main" id="{53992435-8D63-4EC6-943A-AE86DDB71F12}"/>
            </a:ext>
          </a:extLst>
        </xdr:cNvPr>
        <xdr:cNvSpPr txBox="1"/>
      </xdr:nvSpPr>
      <xdr:spPr>
        <a:xfrm>
          <a:off x="17362714" y="1714500"/>
          <a:ext cx="326572" cy="21952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100"/>
            <a:t>荒天予報の為レース中止</a:t>
          </a:r>
        </a:p>
      </xdr:txBody>
    </xdr:sp>
    <xdr:clientData/>
  </xdr:twoCellAnchor>
  <xdr:twoCellAnchor editAs="oneCell">
    <xdr:from>
      <xdr:col>9</xdr:col>
      <xdr:colOff>145143</xdr:colOff>
      <xdr:row>8</xdr:row>
      <xdr:rowOff>9071</xdr:rowOff>
    </xdr:from>
    <xdr:to>
      <xdr:col>9</xdr:col>
      <xdr:colOff>486549</xdr:colOff>
      <xdr:row>20</xdr:row>
      <xdr:rowOff>38871</xdr:rowOff>
    </xdr:to>
    <xdr:pic>
      <xdr:nvPicPr>
        <xdr:cNvPr id="17" name="図 16">
          <a:extLst>
            <a:ext uri="{FF2B5EF4-FFF2-40B4-BE49-F238E27FC236}">
              <a16:creationId xmlns:a16="http://schemas.microsoft.com/office/drawing/2014/main" id="{8FE05262-D220-040A-DB52-F5DF0B1F38EB}"/>
            </a:ext>
          </a:extLst>
        </xdr:cNvPr>
        <xdr:cNvPicPr>
          <a:picLocks noChangeAspect="1"/>
        </xdr:cNvPicPr>
      </xdr:nvPicPr>
      <xdr:blipFill>
        <a:blip xmlns:r="http://schemas.openxmlformats.org/officeDocument/2006/relationships" r:embed="rId2"/>
        <a:stretch>
          <a:fillRect/>
        </a:stretch>
      </xdr:blipFill>
      <xdr:spPr>
        <a:xfrm>
          <a:off x="5061857" y="1868714"/>
          <a:ext cx="341406" cy="22069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263525</xdr:colOff>
      <xdr:row>21</xdr:row>
      <xdr:rowOff>0</xdr:rowOff>
    </xdr:from>
    <xdr:to>
      <xdr:col>3</xdr:col>
      <xdr:colOff>371</xdr:colOff>
      <xdr:row>21</xdr:row>
      <xdr:rowOff>0</xdr:rowOff>
    </xdr:to>
    <xdr:sp macro="" textlink="">
      <xdr:nvSpPr>
        <xdr:cNvPr id="2" name="Text Box 1">
          <a:extLst>
            <a:ext uri="{FF2B5EF4-FFF2-40B4-BE49-F238E27FC236}">
              <a16:creationId xmlns:a16="http://schemas.microsoft.com/office/drawing/2014/main" id="{00000000-0008-0000-0800-000002000000}"/>
            </a:ext>
          </a:extLst>
        </xdr:cNvPr>
        <xdr:cNvSpPr txBox="1">
          <a:spLocks noChangeArrowheads="1"/>
        </xdr:cNvSpPr>
      </xdr:nvSpPr>
      <xdr:spPr bwMode="auto">
        <a:xfrm>
          <a:off x="914400" y="5638800"/>
          <a:ext cx="361950" cy="0"/>
        </a:xfrm>
        <a:prstGeom prst="rect">
          <a:avLst/>
        </a:prstGeom>
        <a:solidFill>
          <a:srgbClr val="FFFFFF"/>
        </a:solidFill>
        <a:ln w="9525" cap="rnd">
          <a:noFill/>
          <a:prstDash val="sysDot"/>
          <a:miter lim="800000"/>
          <a:headEnd/>
          <a:tailEnd/>
        </a:ln>
      </xdr:spPr>
      <xdr:txBody>
        <a:bodyPr vertOverflow="clip" wrap="square" lIns="72000" tIns="36000" rIns="0" bIns="36000" anchor="t" upright="1"/>
        <a:lstStyle/>
        <a:p>
          <a:pPr algn="l" rtl="0">
            <a:defRPr sz="1000"/>
          </a:pPr>
          <a:r>
            <a:rPr lang="ja-JP" altLang="en-US" sz="1100" b="0" i="0" u="none" strike="noStrike" baseline="0">
              <a:solidFill>
                <a:srgbClr val="000000"/>
              </a:solidFill>
              <a:latin typeface="ＭＳ 明朝"/>
              <a:ea typeface="ＭＳ 明朝"/>
            </a:rPr>
            <a:t>賞　品</a:t>
          </a:r>
        </a:p>
      </xdr:txBody>
    </xdr:sp>
    <xdr:clientData/>
  </xdr:twoCellAnchor>
  <xdr:twoCellAnchor>
    <xdr:from>
      <xdr:col>12</xdr:col>
      <xdr:colOff>0</xdr:colOff>
      <xdr:row>5</xdr:row>
      <xdr:rowOff>0</xdr:rowOff>
    </xdr:from>
    <xdr:to>
      <xdr:col>12</xdr:col>
      <xdr:colOff>0</xdr:colOff>
      <xdr:row>6</xdr:row>
      <xdr:rowOff>28575</xdr:rowOff>
    </xdr:to>
    <xdr:sp macro="" textlink="">
      <xdr:nvSpPr>
        <xdr:cNvPr id="3" name="テキスト 204">
          <a:extLst>
            <a:ext uri="{FF2B5EF4-FFF2-40B4-BE49-F238E27FC236}">
              <a16:creationId xmlns:a16="http://schemas.microsoft.com/office/drawing/2014/main" id="{00000000-0008-0000-0800-000003000000}"/>
            </a:ext>
          </a:extLst>
        </xdr:cNvPr>
        <xdr:cNvSpPr txBox="1">
          <a:spLocks noChangeArrowheads="1"/>
        </xdr:cNvSpPr>
      </xdr:nvSpPr>
      <xdr:spPr bwMode="auto">
        <a:xfrm>
          <a:off x="7019925" y="1552575"/>
          <a:ext cx="0" cy="2952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③</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7</xdr:row>
      <xdr:rowOff>0</xdr:rowOff>
    </xdr:from>
    <xdr:to>
      <xdr:col>12</xdr:col>
      <xdr:colOff>0</xdr:colOff>
      <xdr:row>8</xdr:row>
      <xdr:rowOff>0</xdr:rowOff>
    </xdr:to>
    <xdr:sp macro="" textlink="">
      <xdr:nvSpPr>
        <xdr:cNvPr id="4" name="テキスト 204">
          <a:extLst>
            <a:ext uri="{FF2B5EF4-FFF2-40B4-BE49-F238E27FC236}">
              <a16:creationId xmlns:a16="http://schemas.microsoft.com/office/drawing/2014/main" id="{00000000-0008-0000-0800-000004000000}"/>
            </a:ext>
          </a:extLst>
        </xdr:cNvPr>
        <xdr:cNvSpPr txBox="1">
          <a:spLocks noChangeArrowheads="1"/>
        </xdr:cNvSpPr>
      </xdr:nvSpPr>
      <xdr:spPr bwMode="auto">
        <a:xfrm>
          <a:off x="7019925" y="2047875"/>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17</xdr:row>
      <xdr:rowOff>0</xdr:rowOff>
    </xdr:from>
    <xdr:to>
      <xdr:col>12</xdr:col>
      <xdr:colOff>0</xdr:colOff>
      <xdr:row>17</xdr:row>
      <xdr:rowOff>0</xdr:rowOff>
    </xdr:to>
    <xdr:sp macro="" textlink="">
      <xdr:nvSpPr>
        <xdr:cNvPr id="5" name="テキスト 204">
          <a:extLst>
            <a:ext uri="{FF2B5EF4-FFF2-40B4-BE49-F238E27FC236}">
              <a16:creationId xmlns:a16="http://schemas.microsoft.com/office/drawing/2014/main" id="{00000000-0008-0000-0800-000005000000}"/>
            </a:ext>
          </a:extLst>
        </xdr:cNvPr>
        <xdr:cNvSpPr txBox="1">
          <a:spLocks noChangeArrowheads="1"/>
        </xdr:cNvSpPr>
      </xdr:nvSpPr>
      <xdr:spPr bwMode="auto">
        <a:xfrm>
          <a:off x="7019925" y="4333875"/>
          <a:ext cx="0" cy="0"/>
        </a:xfrm>
        <a:prstGeom prst="rect">
          <a:avLst/>
        </a:prstGeom>
        <a:noFill/>
        <a:ln w="9525">
          <a:noFill/>
          <a:miter lim="800000"/>
          <a:headEnd/>
          <a:tailEnd/>
        </a:ln>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明朝"/>
            <a:ea typeface="ＭＳ 明朝"/>
          </a:endParaRP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17</xdr:row>
      <xdr:rowOff>0</xdr:rowOff>
    </xdr:from>
    <xdr:to>
      <xdr:col>12</xdr:col>
      <xdr:colOff>0</xdr:colOff>
      <xdr:row>17</xdr:row>
      <xdr:rowOff>0</xdr:rowOff>
    </xdr:to>
    <xdr:sp macro="" textlink="">
      <xdr:nvSpPr>
        <xdr:cNvPr id="6" name="テキスト 204">
          <a:extLst>
            <a:ext uri="{FF2B5EF4-FFF2-40B4-BE49-F238E27FC236}">
              <a16:creationId xmlns:a16="http://schemas.microsoft.com/office/drawing/2014/main" id="{00000000-0008-0000-0800-000006000000}"/>
            </a:ext>
          </a:extLst>
        </xdr:cNvPr>
        <xdr:cNvSpPr txBox="1">
          <a:spLocks noChangeArrowheads="1"/>
        </xdr:cNvSpPr>
      </xdr:nvSpPr>
      <xdr:spPr bwMode="auto">
        <a:xfrm>
          <a:off x="7019925" y="43338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②</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9</xdr:row>
      <xdr:rowOff>0</xdr:rowOff>
    </xdr:from>
    <xdr:to>
      <xdr:col>12</xdr:col>
      <xdr:colOff>0</xdr:colOff>
      <xdr:row>10</xdr:row>
      <xdr:rowOff>0</xdr:rowOff>
    </xdr:to>
    <xdr:sp macro="" textlink="">
      <xdr:nvSpPr>
        <xdr:cNvPr id="7" name="テキスト 204">
          <a:extLst>
            <a:ext uri="{FF2B5EF4-FFF2-40B4-BE49-F238E27FC236}">
              <a16:creationId xmlns:a16="http://schemas.microsoft.com/office/drawing/2014/main" id="{00000000-0008-0000-0800-000007000000}"/>
            </a:ext>
          </a:extLst>
        </xdr:cNvPr>
        <xdr:cNvSpPr txBox="1">
          <a:spLocks noChangeArrowheads="1"/>
        </xdr:cNvSpPr>
      </xdr:nvSpPr>
      <xdr:spPr bwMode="auto">
        <a:xfrm>
          <a:off x="7019925" y="2505075"/>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17</xdr:row>
      <xdr:rowOff>0</xdr:rowOff>
    </xdr:from>
    <xdr:to>
      <xdr:col>12</xdr:col>
      <xdr:colOff>0</xdr:colOff>
      <xdr:row>17</xdr:row>
      <xdr:rowOff>0</xdr:rowOff>
    </xdr:to>
    <xdr:sp macro="" textlink="">
      <xdr:nvSpPr>
        <xdr:cNvPr id="8" name="テキスト 204">
          <a:extLst>
            <a:ext uri="{FF2B5EF4-FFF2-40B4-BE49-F238E27FC236}">
              <a16:creationId xmlns:a16="http://schemas.microsoft.com/office/drawing/2014/main" id="{00000000-0008-0000-0800-000008000000}"/>
            </a:ext>
          </a:extLst>
        </xdr:cNvPr>
        <xdr:cNvSpPr txBox="1">
          <a:spLocks noChangeArrowheads="1"/>
        </xdr:cNvSpPr>
      </xdr:nvSpPr>
      <xdr:spPr bwMode="auto">
        <a:xfrm>
          <a:off x="7019925" y="4333875"/>
          <a:ext cx="0" cy="0"/>
        </a:xfrm>
        <a:prstGeom prst="rect">
          <a:avLst/>
        </a:prstGeom>
        <a:noFill/>
        <a:ln w="9525">
          <a:noFill/>
          <a:miter lim="800000"/>
          <a:headEnd/>
          <a:tailEnd/>
        </a:ln>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明朝"/>
            <a:ea typeface="ＭＳ 明朝"/>
          </a:endParaRP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5</xdr:row>
      <xdr:rowOff>155575</xdr:rowOff>
    </xdr:from>
    <xdr:to>
      <xdr:col>12</xdr:col>
      <xdr:colOff>0</xdr:colOff>
      <xdr:row>7</xdr:row>
      <xdr:rowOff>19108</xdr:rowOff>
    </xdr:to>
    <xdr:sp macro="" textlink="">
      <xdr:nvSpPr>
        <xdr:cNvPr id="9" name="テキスト 204">
          <a:extLst>
            <a:ext uri="{FF2B5EF4-FFF2-40B4-BE49-F238E27FC236}">
              <a16:creationId xmlns:a16="http://schemas.microsoft.com/office/drawing/2014/main" id="{00000000-0008-0000-0800-000009000000}"/>
            </a:ext>
          </a:extLst>
        </xdr:cNvPr>
        <xdr:cNvSpPr txBox="1">
          <a:spLocks noChangeArrowheads="1"/>
        </xdr:cNvSpPr>
      </xdr:nvSpPr>
      <xdr:spPr bwMode="auto">
        <a:xfrm>
          <a:off x="7019925" y="1714500"/>
          <a:ext cx="0" cy="3524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②</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4</xdr:col>
      <xdr:colOff>9525</xdr:colOff>
      <xdr:row>11</xdr:row>
      <xdr:rowOff>9525</xdr:rowOff>
    </xdr:from>
    <xdr:to>
      <xdr:col>4</xdr:col>
      <xdr:colOff>161925</xdr:colOff>
      <xdr:row>12</xdr:row>
      <xdr:rowOff>0</xdr:rowOff>
    </xdr:to>
    <xdr:sp macro="" textlink="">
      <xdr:nvSpPr>
        <xdr:cNvPr id="41062" name="テキスト 204">
          <a:extLst>
            <a:ext uri="{FF2B5EF4-FFF2-40B4-BE49-F238E27FC236}">
              <a16:creationId xmlns:a16="http://schemas.microsoft.com/office/drawing/2014/main" id="{00000000-0008-0000-0800-000066A00000}"/>
            </a:ext>
          </a:extLst>
        </xdr:cNvPr>
        <xdr:cNvSpPr txBox="1">
          <a:spLocks noChangeArrowheads="1"/>
        </xdr:cNvSpPr>
      </xdr:nvSpPr>
      <xdr:spPr bwMode="auto">
        <a:xfrm>
          <a:off x="2114550" y="2971800"/>
          <a:ext cx="1524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0</xdr:colOff>
      <xdr:row>17</xdr:row>
      <xdr:rowOff>0</xdr:rowOff>
    </xdr:from>
    <xdr:to>
      <xdr:col>4</xdr:col>
      <xdr:colOff>152400</xdr:colOff>
      <xdr:row>17</xdr:row>
      <xdr:rowOff>0</xdr:rowOff>
    </xdr:to>
    <xdr:sp macro="" textlink="">
      <xdr:nvSpPr>
        <xdr:cNvPr id="41063" name="テキスト 204">
          <a:extLst>
            <a:ext uri="{FF2B5EF4-FFF2-40B4-BE49-F238E27FC236}">
              <a16:creationId xmlns:a16="http://schemas.microsoft.com/office/drawing/2014/main" id="{00000000-0008-0000-0800-000067A00000}"/>
            </a:ext>
          </a:extLst>
        </xdr:cNvPr>
        <xdr:cNvSpPr txBox="1">
          <a:spLocks noChangeArrowheads="1"/>
        </xdr:cNvSpPr>
      </xdr:nvSpPr>
      <xdr:spPr bwMode="auto">
        <a:xfrm>
          <a:off x="2105025" y="4333875"/>
          <a:ext cx="152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19050</xdr:colOff>
      <xdr:row>17</xdr:row>
      <xdr:rowOff>0</xdr:rowOff>
    </xdr:from>
    <xdr:to>
      <xdr:col>8</xdr:col>
      <xdr:colOff>164751</xdr:colOff>
      <xdr:row>17</xdr:row>
      <xdr:rowOff>0</xdr:rowOff>
    </xdr:to>
    <xdr:sp macro="" textlink="">
      <xdr:nvSpPr>
        <xdr:cNvPr id="12" name="テキスト 204">
          <a:extLst>
            <a:ext uri="{FF2B5EF4-FFF2-40B4-BE49-F238E27FC236}">
              <a16:creationId xmlns:a16="http://schemas.microsoft.com/office/drawing/2014/main" id="{00000000-0008-0000-0800-00000C000000}"/>
            </a:ext>
          </a:extLst>
        </xdr:cNvPr>
        <xdr:cNvSpPr txBox="1">
          <a:spLocks noChangeArrowheads="1"/>
        </xdr:cNvSpPr>
      </xdr:nvSpPr>
      <xdr:spPr bwMode="auto">
        <a:xfrm>
          <a:off x="4486275" y="4333875"/>
          <a:ext cx="152400" cy="0"/>
        </a:xfrm>
        <a:prstGeom prst="rect">
          <a:avLst/>
        </a:prstGeom>
        <a:noFill/>
        <a:ln w="9525">
          <a:noFill/>
          <a:miter lim="800000"/>
          <a:headEnd/>
          <a:tailEnd/>
        </a:ln>
      </xdr:spPr>
      <xdr:txBody>
        <a:bodyPr vertOverflow="clip" wrap="square" lIns="27432" tIns="18288" rIns="0" bIns="0" anchor="t" upright="1"/>
        <a:lstStyle/>
        <a:p>
          <a:pPr algn="l" rtl="0">
            <a:defRPr sz="1000"/>
          </a:pPr>
          <a:endParaRPr lang="en-US" altLang="ja-JP" sz="1100" b="0" i="0" u="none" strike="noStrike" baseline="0">
            <a:solidFill>
              <a:srgbClr val="000000"/>
            </a:solidFill>
            <a:latin typeface="ＭＳ 明朝"/>
            <a:ea typeface="ＭＳ 明朝"/>
          </a:endParaRPr>
        </a:p>
        <a:p>
          <a:pPr algn="l" rtl="0">
            <a:defRPr sz="1000"/>
          </a:pPr>
          <a:endParaRPr lang="en-US" altLang="ja-JP" sz="1100" b="0" i="0" u="none" strike="noStrike" baseline="0">
            <a:solidFill>
              <a:srgbClr val="000000"/>
            </a:solidFill>
            <a:latin typeface="ＭＳ 明朝"/>
            <a:ea typeface="ＭＳ 明朝"/>
          </a:endParaRPr>
        </a:p>
        <a:p>
          <a:pPr algn="l" rtl="0">
            <a:defRPr sz="1000"/>
          </a:pPr>
          <a:r>
            <a:rPr lang="en-US" altLang="ja-JP" sz="1100" b="0" i="0" u="none" strike="noStrike" baseline="0">
              <a:solidFill>
                <a:srgbClr val="000000"/>
              </a:solidFill>
              <a:latin typeface="ＭＳ 明朝"/>
              <a:ea typeface="ＭＳ 明朝"/>
            </a:rPr>
            <a:t>B</a:t>
          </a:r>
        </a:p>
        <a:p>
          <a:pPr algn="l" rtl="0">
            <a:defRPr sz="1000"/>
          </a:pPr>
          <a:r>
            <a:rPr lang="en-US" altLang="ja-JP" sz="1100" b="0" i="0" u="none" strike="noStrike" baseline="0">
              <a:solidFill>
                <a:srgbClr val="000000"/>
              </a:solidFill>
              <a:latin typeface="ＭＳ 明朝"/>
              <a:ea typeface="ＭＳ 明朝"/>
            </a:rPr>
            <a:t>B</a:t>
          </a:r>
        </a:p>
      </xdr:txBody>
    </xdr:sp>
    <xdr:clientData/>
  </xdr:twoCellAnchor>
  <xdr:twoCellAnchor>
    <xdr:from>
      <xdr:col>12</xdr:col>
      <xdr:colOff>0</xdr:colOff>
      <xdr:row>17</xdr:row>
      <xdr:rowOff>0</xdr:rowOff>
    </xdr:from>
    <xdr:to>
      <xdr:col>12</xdr:col>
      <xdr:colOff>0</xdr:colOff>
      <xdr:row>17</xdr:row>
      <xdr:rowOff>0</xdr:rowOff>
    </xdr:to>
    <xdr:sp macro="" textlink="">
      <xdr:nvSpPr>
        <xdr:cNvPr id="13" name="テキスト 204">
          <a:extLst>
            <a:ext uri="{FF2B5EF4-FFF2-40B4-BE49-F238E27FC236}">
              <a16:creationId xmlns:a16="http://schemas.microsoft.com/office/drawing/2014/main" id="{00000000-0008-0000-0800-00000D000000}"/>
            </a:ext>
          </a:extLst>
        </xdr:cNvPr>
        <xdr:cNvSpPr txBox="1">
          <a:spLocks noChangeArrowheads="1"/>
        </xdr:cNvSpPr>
      </xdr:nvSpPr>
      <xdr:spPr bwMode="auto">
        <a:xfrm>
          <a:off x="7019925" y="4333875"/>
          <a:ext cx="0" cy="0"/>
        </a:xfrm>
        <a:prstGeom prst="rect">
          <a:avLst/>
        </a:prstGeom>
        <a:noFill/>
        <a:ln w="9525">
          <a:noFill/>
          <a:miter lim="800000"/>
          <a:headEnd/>
          <a:tailEnd/>
        </a:ln>
      </xdr:spPr>
      <xdr:txBody>
        <a:bodyPr vertOverflow="clip" wrap="square" lIns="27432" tIns="18288" rIns="0" bIns="0" anchor="t" upright="1"/>
        <a:lstStyle/>
        <a:p>
          <a:pPr algn="l" rtl="0">
            <a:defRPr sz="1000"/>
          </a:pPr>
          <a:endParaRPr lang="en-US" altLang="ja-JP" sz="1100" b="0" i="0" u="none" strike="noStrike" baseline="0">
            <a:solidFill>
              <a:srgbClr val="000000"/>
            </a:solidFill>
            <a:latin typeface="ＭＳ 明朝"/>
            <a:ea typeface="ＭＳ 明朝"/>
          </a:endParaRPr>
        </a:p>
        <a:p>
          <a:pPr algn="l" rtl="0">
            <a:defRPr sz="1000"/>
          </a:pPr>
          <a:endParaRPr lang="en-US" altLang="ja-JP" sz="1100" b="0" i="0" u="none" strike="noStrike" baseline="0">
            <a:solidFill>
              <a:srgbClr val="000000"/>
            </a:solidFill>
            <a:latin typeface="ＭＳ 明朝"/>
            <a:ea typeface="ＭＳ 明朝"/>
          </a:endParaRPr>
        </a:p>
        <a:p>
          <a:pPr algn="l" rtl="0">
            <a:defRPr sz="1000"/>
          </a:pPr>
          <a:r>
            <a:rPr lang="en-US" altLang="ja-JP" sz="1100" b="0" i="0" u="none" strike="noStrike" baseline="0">
              <a:solidFill>
                <a:srgbClr val="000000"/>
              </a:solidFill>
              <a:latin typeface="ＭＳ 明朝"/>
              <a:ea typeface="ＭＳ 明朝"/>
            </a:rPr>
            <a:t>B</a:t>
          </a:r>
        </a:p>
        <a:p>
          <a:pPr algn="l" rtl="0">
            <a:defRPr sz="1000"/>
          </a:pPr>
          <a:r>
            <a:rPr lang="en-US" altLang="ja-JP" sz="1100" b="0" i="0" u="none" strike="noStrike" baseline="0">
              <a:solidFill>
                <a:srgbClr val="000000"/>
              </a:solidFill>
              <a:latin typeface="ＭＳ 明朝"/>
              <a:ea typeface="ＭＳ 明朝"/>
            </a:rPr>
            <a:t>B</a:t>
          </a:r>
        </a:p>
      </xdr:txBody>
    </xdr:sp>
    <xdr:clientData/>
  </xdr:twoCellAnchor>
  <xdr:twoCellAnchor>
    <xdr:from>
      <xdr:col>2</xdr:col>
      <xdr:colOff>0</xdr:colOff>
      <xdr:row>32</xdr:row>
      <xdr:rowOff>0</xdr:rowOff>
    </xdr:from>
    <xdr:to>
      <xdr:col>2</xdr:col>
      <xdr:colOff>0</xdr:colOff>
      <xdr:row>32</xdr:row>
      <xdr:rowOff>0</xdr:rowOff>
    </xdr:to>
    <xdr:sp macro="" textlink="">
      <xdr:nvSpPr>
        <xdr:cNvPr id="19" name="テキスト 204">
          <a:extLst>
            <a:ext uri="{FF2B5EF4-FFF2-40B4-BE49-F238E27FC236}">
              <a16:creationId xmlns:a16="http://schemas.microsoft.com/office/drawing/2014/main" id="{00000000-0008-0000-0800-000013000000}"/>
            </a:ext>
          </a:extLst>
        </xdr:cNvPr>
        <xdr:cNvSpPr txBox="1">
          <a:spLocks noChangeArrowheads="1"/>
        </xdr:cNvSpPr>
      </xdr:nvSpPr>
      <xdr:spPr bwMode="auto">
        <a:xfrm>
          <a:off x="638175" y="81057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③</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2</xdr:col>
      <xdr:colOff>0</xdr:colOff>
      <xdr:row>32</xdr:row>
      <xdr:rowOff>0</xdr:rowOff>
    </xdr:from>
    <xdr:to>
      <xdr:col>2</xdr:col>
      <xdr:colOff>0</xdr:colOff>
      <xdr:row>32</xdr:row>
      <xdr:rowOff>0</xdr:rowOff>
    </xdr:to>
    <xdr:sp macro="" textlink="">
      <xdr:nvSpPr>
        <xdr:cNvPr id="20" name="テキスト 204">
          <a:extLst>
            <a:ext uri="{FF2B5EF4-FFF2-40B4-BE49-F238E27FC236}">
              <a16:creationId xmlns:a16="http://schemas.microsoft.com/office/drawing/2014/main" id="{00000000-0008-0000-0800-000014000000}"/>
            </a:ext>
          </a:extLst>
        </xdr:cNvPr>
        <xdr:cNvSpPr txBox="1">
          <a:spLocks noChangeArrowheads="1"/>
        </xdr:cNvSpPr>
      </xdr:nvSpPr>
      <xdr:spPr bwMode="auto">
        <a:xfrm>
          <a:off x="638175" y="81057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2</xdr:col>
      <xdr:colOff>0</xdr:colOff>
      <xdr:row>32</xdr:row>
      <xdr:rowOff>0</xdr:rowOff>
    </xdr:from>
    <xdr:to>
      <xdr:col>2</xdr:col>
      <xdr:colOff>0</xdr:colOff>
      <xdr:row>32</xdr:row>
      <xdr:rowOff>0</xdr:rowOff>
    </xdr:to>
    <xdr:sp macro="" textlink="">
      <xdr:nvSpPr>
        <xdr:cNvPr id="21" name="テキスト 204">
          <a:extLst>
            <a:ext uri="{FF2B5EF4-FFF2-40B4-BE49-F238E27FC236}">
              <a16:creationId xmlns:a16="http://schemas.microsoft.com/office/drawing/2014/main" id="{00000000-0008-0000-0800-000015000000}"/>
            </a:ext>
          </a:extLst>
        </xdr:cNvPr>
        <xdr:cNvSpPr txBox="1">
          <a:spLocks noChangeArrowheads="1"/>
        </xdr:cNvSpPr>
      </xdr:nvSpPr>
      <xdr:spPr bwMode="auto">
        <a:xfrm>
          <a:off x="638175" y="81057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2</xdr:col>
      <xdr:colOff>0</xdr:colOff>
      <xdr:row>32</xdr:row>
      <xdr:rowOff>0</xdr:rowOff>
    </xdr:from>
    <xdr:to>
      <xdr:col>2</xdr:col>
      <xdr:colOff>0</xdr:colOff>
      <xdr:row>32</xdr:row>
      <xdr:rowOff>0</xdr:rowOff>
    </xdr:to>
    <xdr:sp macro="" textlink="">
      <xdr:nvSpPr>
        <xdr:cNvPr id="22" name="テキスト 204">
          <a:extLst>
            <a:ext uri="{FF2B5EF4-FFF2-40B4-BE49-F238E27FC236}">
              <a16:creationId xmlns:a16="http://schemas.microsoft.com/office/drawing/2014/main" id="{00000000-0008-0000-0800-000016000000}"/>
            </a:ext>
          </a:extLst>
        </xdr:cNvPr>
        <xdr:cNvSpPr txBox="1">
          <a:spLocks noChangeArrowheads="1"/>
        </xdr:cNvSpPr>
      </xdr:nvSpPr>
      <xdr:spPr bwMode="auto">
        <a:xfrm>
          <a:off x="638175" y="81057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②</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20</xdr:row>
      <xdr:rowOff>0</xdr:rowOff>
    </xdr:from>
    <xdr:to>
      <xdr:col>10</xdr:col>
      <xdr:colOff>0</xdr:colOff>
      <xdr:row>21</xdr:row>
      <xdr:rowOff>28575</xdr:rowOff>
    </xdr:to>
    <xdr:sp macro="" textlink="">
      <xdr:nvSpPr>
        <xdr:cNvPr id="23" name="テキスト 204">
          <a:extLst>
            <a:ext uri="{FF2B5EF4-FFF2-40B4-BE49-F238E27FC236}">
              <a16:creationId xmlns:a16="http://schemas.microsoft.com/office/drawing/2014/main" id="{00000000-0008-0000-0800-000017000000}"/>
            </a:ext>
          </a:extLst>
        </xdr:cNvPr>
        <xdr:cNvSpPr txBox="1">
          <a:spLocks noChangeArrowheads="1"/>
        </xdr:cNvSpPr>
      </xdr:nvSpPr>
      <xdr:spPr bwMode="auto">
        <a:xfrm>
          <a:off x="5743575" y="5372100"/>
          <a:ext cx="0" cy="2952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③</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22</xdr:row>
      <xdr:rowOff>0</xdr:rowOff>
    </xdr:from>
    <xdr:to>
      <xdr:col>10</xdr:col>
      <xdr:colOff>0</xdr:colOff>
      <xdr:row>23</xdr:row>
      <xdr:rowOff>0</xdr:rowOff>
    </xdr:to>
    <xdr:sp macro="" textlink="">
      <xdr:nvSpPr>
        <xdr:cNvPr id="24" name="テキスト 204">
          <a:extLst>
            <a:ext uri="{FF2B5EF4-FFF2-40B4-BE49-F238E27FC236}">
              <a16:creationId xmlns:a16="http://schemas.microsoft.com/office/drawing/2014/main" id="{00000000-0008-0000-0800-000018000000}"/>
            </a:ext>
          </a:extLst>
        </xdr:cNvPr>
        <xdr:cNvSpPr txBox="1">
          <a:spLocks noChangeArrowheads="1"/>
        </xdr:cNvSpPr>
      </xdr:nvSpPr>
      <xdr:spPr bwMode="auto">
        <a:xfrm>
          <a:off x="5743575" y="586740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24</xdr:row>
      <xdr:rowOff>0</xdr:rowOff>
    </xdr:from>
    <xdr:to>
      <xdr:col>10</xdr:col>
      <xdr:colOff>0</xdr:colOff>
      <xdr:row>25</xdr:row>
      <xdr:rowOff>0</xdr:rowOff>
    </xdr:to>
    <xdr:sp macro="" textlink="">
      <xdr:nvSpPr>
        <xdr:cNvPr id="25" name="テキスト 204">
          <a:extLst>
            <a:ext uri="{FF2B5EF4-FFF2-40B4-BE49-F238E27FC236}">
              <a16:creationId xmlns:a16="http://schemas.microsoft.com/office/drawing/2014/main" id="{00000000-0008-0000-0800-000019000000}"/>
            </a:ext>
          </a:extLst>
        </xdr:cNvPr>
        <xdr:cNvSpPr txBox="1">
          <a:spLocks noChangeArrowheads="1"/>
        </xdr:cNvSpPr>
      </xdr:nvSpPr>
      <xdr:spPr bwMode="auto">
        <a:xfrm>
          <a:off x="5743575" y="632460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20</xdr:row>
      <xdr:rowOff>155575</xdr:rowOff>
    </xdr:from>
    <xdr:to>
      <xdr:col>10</xdr:col>
      <xdr:colOff>0</xdr:colOff>
      <xdr:row>22</xdr:row>
      <xdr:rowOff>19108</xdr:rowOff>
    </xdr:to>
    <xdr:sp macro="" textlink="">
      <xdr:nvSpPr>
        <xdr:cNvPr id="26" name="テキスト 204">
          <a:extLst>
            <a:ext uri="{FF2B5EF4-FFF2-40B4-BE49-F238E27FC236}">
              <a16:creationId xmlns:a16="http://schemas.microsoft.com/office/drawing/2014/main" id="{00000000-0008-0000-0800-00001A000000}"/>
            </a:ext>
          </a:extLst>
        </xdr:cNvPr>
        <xdr:cNvSpPr txBox="1">
          <a:spLocks noChangeArrowheads="1"/>
        </xdr:cNvSpPr>
      </xdr:nvSpPr>
      <xdr:spPr bwMode="auto">
        <a:xfrm>
          <a:off x="5743575" y="5534025"/>
          <a:ext cx="0" cy="3524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②</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20</xdr:row>
      <xdr:rowOff>0</xdr:rowOff>
    </xdr:from>
    <xdr:to>
      <xdr:col>12</xdr:col>
      <xdr:colOff>0</xdr:colOff>
      <xdr:row>21</xdr:row>
      <xdr:rowOff>28575</xdr:rowOff>
    </xdr:to>
    <xdr:sp macro="" textlink="">
      <xdr:nvSpPr>
        <xdr:cNvPr id="27" name="テキスト 204">
          <a:extLst>
            <a:ext uri="{FF2B5EF4-FFF2-40B4-BE49-F238E27FC236}">
              <a16:creationId xmlns:a16="http://schemas.microsoft.com/office/drawing/2014/main" id="{00000000-0008-0000-0800-00001B000000}"/>
            </a:ext>
          </a:extLst>
        </xdr:cNvPr>
        <xdr:cNvSpPr txBox="1">
          <a:spLocks noChangeArrowheads="1"/>
        </xdr:cNvSpPr>
      </xdr:nvSpPr>
      <xdr:spPr bwMode="auto">
        <a:xfrm>
          <a:off x="7019925" y="5372100"/>
          <a:ext cx="0" cy="2952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③</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5</xdr:row>
      <xdr:rowOff>0</xdr:rowOff>
    </xdr:from>
    <xdr:to>
      <xdr:col>12</xdr:col>
      <xdr:colOff>0</xdr:colOff>
      <xdr:row>6</xdr:row>
      <xdr:rowOff>28575</xdr:rowOff>
    </xdr:to>
    <xdr:sp macro="" textlink="">
      <xdr:nvSpPr>
        <xdr:cNvPr id="34" name="テキスト 204">
          <a:extLst>
            <a:ext uri="{FF2B5EF4-FFF2-40B4-BE49-F238E27FC236}">
              <a16:creationId xmlns:a16="http://schemas.microsoft.com/office/drawing/2014/main" id="{00000000-0008-0000-0800-000022000000}"/>
            </a:ext>
          </a:extLst>
        </xdr:cNvPr>
        <xdr:cNvSpPr txBox="1">
          <a:spLocks noChangeArrowheads="1"/>
        </xdr:cNvSpPr>
      </xdr:nvSpPr>
      <xdr:spPr bwMode="auto">
        <a:xfrm>
          <a:off x="7019925" y="1552575"/>
          <a:ext cx="0" cy="2952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③</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7</xdr:row>
      <xdr:rowOff>0</xdr:rowOff>
    </xdr:from>
    <xdr:to>
      <xdr:col>12</xdr:col>
      <xdr:colOff>0</xdr:colOff>
      <xdr:row>8</xdr:row>
      <xdr:rowOff>0</xdr:rowOff>
    </xdr:to>
    <xdr:sp macro="" textlink="">
      <xdr:nvSpPr>
        <xdr:cNvPr id="35" name="テキスト 204">
          <a:extLst>
            <a:ext uri="{FF2B5EF4-FFF2-40B4-BE49-F238E27FC236}">
              <a16:creationId xmlns:a16="http://schemas.microsoft.com/office/drawing/2014/main" id="{00000000-0008-0000-0800-000023000000}"/>
            </a:ext>
          </a:extLst>
        </xdr:cNvPr>
        <xdr:cNvSpPr txBox="1">
          <a:spLocks noChangeArrowheads="1"/>
        </xdr:cNvSpPr>
      </xdr:nvSpPr>
      <xdr:spPr bwMode="auto">
        <a:xfrm>
          <a:off x="7019925" y="2047875"/>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5</xdr:row>
      <xdr:rowOff>155575</xdr:rowOff>
    </xdr:from>
    <xdr:to>
      <xdr:col>12</xdr:col>
      <xdr:colOff>0</xdr:colOff>
      <xdr:row>7</xdr:row>
      <xdr:rowOff>19108</xdr:rowOff>
    </xdr:to>
    <xdr:sp macro="" textlink="">
      <xdr:nvSpPr>
        <xdr:cNvPr id="36" name="テキスト 204">
          <a:extLst>
            <a:ext uri="{FF2B5EF4-FFF2-40B4-BE49-F238E27FC236}">
              <a16:creationId xmlns:a16="http://schemas.microsoft.com/office/drawing/2014/main" id="{00000000-0008-0000-0800-000024000000}"/>
            </a:ext>
          </a:extLst>
        </xdr:cNvPr>
        <xdr:cNvSpPr txBox="1">
          <a:spLocks noChangeArrowheads="1"/>
        </xdr:cNvSpPr>
      </xdr:nvSpPr>
      <xdr:spPr bwMode="auto">
        <a:xfrm>
          <a:off x="7019925" y="1714500"/>
          <a:ext cx="0" cy="3524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②</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20</xdr:row>
      <xdr:rowOff>0</xdr:rowOff>
    </xdr:from>
    <xdr:to>
      <xdr:col>10</xdr:col>
      <xdr:colOff>0</xdr:colOff>
      <xdr:row>21</xdr:row>
      <xdr:rowOff>28575</xdr:rowOff>
    </xdr:to>
    <xdr:sp macro="" textlink="">
      <xdr:nvSpPr>
        <xdr:cNvPr id="33" name="テキスト 204">
          <a:extLst>
            <a:ext uri="{FF2B5EF4-FFF2-40B4-BE49-F238E27FC236}">
              <a16:creationId xmlns:a16="http://schemas.microsoft.com/office/drawing/2014/main" id="{00000000-0008-0000-0800-000021000000}"/>
            </a:ext>
          </a:extLst>
        </xdr:cNvPr>
        <xdr:cNvSpPr txBox="1">
          <a:spLocks noChangeArrowheads="1"/>
        </xdr:cNvSpPr>
      </xdr:nvSpPr>
      <xdr:spPr bwMode="auto">
        <a:xfrm>
          <a:off x="5934075" y="5372100"/>
          <a:ext cx="0" cy="2952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③</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22</xdr:row>
      <xdr:rowOff>0</xdr:rowOff>
    </xdr:from>
    <xdr:to>
      <xdr:col>10</xdr:col>
      <xdr:colOff>0</xdr:colOff>
      <xdr:row>23</xdr:row>
      <xdr:rowOff>0</xdr:rowOff>
    </xdr:to>
    <xdr:sp macro="" textlink="">
      <xdr:nvSpPr>
        <xdr:cNvPr id="37" name="テキスト 204">
          <a:extLst>
            <a:ext uri="{FF2B5EF4-FFF2-40B4-BE49-F238E27FC236}">
              <a16:creationId xmlns:a16="http://schemas.microsoft.com/office/drawing/2014/main" id="{00000000-0008-0000-0800-000025000000}"/>
            </a:ext>
          </a:extLst>
        </xdr:cNvPr>
        <xdr:cNvSpPr txBox="1">
          <a:spLocks noChangeArrowheads="1"/>
        </xdr:cNvSpPr>
      </xdr:nvSpPr>
      <xdr:spPr bwMode="auto">
        <a:xfrm>
          <a:off x="5934075" y="586740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24</xdr:row>
      <xdr:rowOff>0</xdr:rowOff>
    </xdr:from>
    <xdr:to>
      <xdr:col>10</xdr:col>
      <xdr:colOff>0</xdr:colOff>
      <xdr:row>25</xdr:row>
      <xdr:rowOff>0</xdr:rowOff>
    </xdr:to>
    <xdr:sp macro="" textlink="">
      <xdr:nvSpPr>
        <xdr:cNvPr id="38" name="テキスト 204">
          <a:extLst>
            <a:ext uri="{FF2B5EF4-FFF2-40B4-BE49-F238E27FC236}">
              <a16:creationId xmlns:a16="http://schemas.microsoft.com/office/drawing/2014/main" id="{00000000-0008-0000-0800-000026000000}"/>
            </a:ext>
          </a:extLst>
        </xdr:cNvPr>
        <xdr:cNvSpPr txBox="1">
          <a:spLocks noChangeArrowheads="1"/>
        </xdr:cNvSpPr>
      </xdr:nvSpPr>
      <xdr:spPr bwMode="auto">
        <a:xfrm>
          <a:off x="5934075" y="632460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20</xdr:row>
      <xdr:rowOff>155575</xdr:rowOff>
    </xdr:from>
    <xdr:to>
      <xdr:col>10</xdr:col>
      <xdr:colOff>0</xdr:colOff>
      <xdr:row>22</xdr:row>
      <xdr:rowOff>19108</xdr:rowOff>
    </xdr:to>
    <xdr:sp macro="" textlink="">
      <xdr:nvSpPr>
        <xdr:cNvPr id="39" name="テキスト 204">
          <a:extLst>
            <a:ext uri="{FF2B5EF4-FFF2-40B4-BE49-F238E27FC236}">
              <a16:creationId xmlns:a16="http://schemas.microsoft.com/office/drawing/2014/main" id="{00000000-0008-0000-0800-000027000000}"/>
            </a:ext>
          </a:extLst>
        </xdr:cNvPr>
        <xdr:cNvSpPr txBox="1">
          <a:spLocks noChangeArrowheads="1"/>
        </xdr:cNvSpPr>
      </xdr:nvSpPr>
      <xdr:spPr bwMode="auto">
        <a:xfrm>
          <a:off x="5934075" y="5534025"/>
          <a:ext cx="0" cy="3524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②</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21</xdr:row>
      <xdr:rowOff>0</xdr:rowOff>
    </xdr:from>
    <xdr:to>
      <xdr:col>10</xdr:col>
      <xdr:colOff>0</xdr:colOff>
      <xdr:row>22</xdr:row>
      <xdr:rowOff>0</xdr:rowOff>
    </xdr:to>
    <xdr:sp macro="" textlink="">
      <xdr:nvSpPr>
        <xdr:cNvPr id="41" name="テキスト 204">
          <a:extLst>
            <a:ext uri="{FF2B5EF4-FFF2-40B4-BE49-F238E27FC236}">
              <a16:creationId xmlns:a16="http://schemas.microsoft.com/office/drawing/2014/main" id="{00000000-0008-0000-0800-000029000000}"/>
            </a:ext>
          </a:extLst>
        </xdr:cNvPr>
        <xdr:cNvSpPr txBox="1">
          <a:spLocks noChangeArrowheads="1"/>
        </xdr:cNvSpPr>
      </xdr:nvSpPr>
      <xdr:spPr bwMode="auto">
        <a:xfrm>
          <a:off x="5934075" y="588645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23</xdr:row>
      <xdr:rowOff>0</xdr:rowOff>
    </xdr:from>
    <xdr:to>
      <xdr:col>10</xdr:col>
      <xdr:colOff>0</xdr:colOff>
      <xdr:row>24</xdr:row>
      <xdr:rowOff>0</xdr:rowOff>
    </xdr:to>
    <xdr:sp macro="" textlink="">
      <xdr:nvSpPr>
        <xdr:cNvPr id="42" name="テキスト 204">
          <a:extLst>
            <a:ext uri="{FF2B5EF4-FFF2-40B4-BE49-F238E27FC236}">
              <a16:creationId xmlns:a16="http://schemas.microsoft.com/office/drawing/2014/main" id="{00000000-0008-0000-0800-00002A000000}"/>
            </a:ext>
          </a:extLst>
        </xdr:cNvPr>
        <xdr:cNvSpPr txBox="1">
          <a:spLocks noChangeArrowheads="1"/>
        </xdr:cNvSpPr>
      </xdr:nvSpPr>
      <xdr:spPr bwMode="auto">
        <a:xfrm>
          <a:off x="5934075" y="634365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21</xdr:row>
      <xdr:rowOff>0</xdr:rowOff>
    </xdr:from>
    <xdr:to>
      <xdr:col>10</xdr:col>
      <xdr:colOff>0</xdr:colOff>
      <xdr:row>22</xdr:row>
      <xdr:rowOff>0</xdr:rowOff>
    </xdr:to>
    <xdr:sp macro="" textlink="">
      <xdr:nvSpPr>
        <xdr:cNvPr id="43" name="テキスト 204">
          <a:extLst>
            <a:ext uri="{FF2B5EF4-FFF2-40B4-BE49-F238E27FC236}">
              <a16:creationId xmlns:a16="http://schemas.microsoft.com/office/drawing/2014/main" id="{00000000-0008-0000-0800-00002B000000}"/>
            </a:ext>
          </a:extLst>
        </xdr:cNvPr>
        <xdr:cNvSpPr txBox="1">
          <a:spLocks noChangeArrowheads="1"/>
        </xdr:cNvSpPr>
      </xdr:nvSpPr>
      <xdr:spPr bwMode="auto">
        <a:xfrm>
          <a:off x="5934075" y="588645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23</xdr:row>
      <xdr:rowOff>0</xdr:rowOff>
    </xdr:from>
    <xdr:to>
      <xdr:col>10</xdr:col>
      <xdr:colOff>0</xdr:colOff>
      <xdr:row>24</xdr:row>
      <xdr:rowOff>0</xdr:rowOff>
    </xdr:to>
    <xdr:sp macro="" textlink="">
      <xdr:nvSpPr>
        <xdr:cNvPr id="44" name="テキスト 204">
          <a:extLst>
            <a:ext uri="{FF2B5EF4-FFF2-40B4-BE49-F238E27FC236}">
              <a16:creationId xmlns:a16="http://schemas.microsoft.com/office/drawing/2014/main" id="{00000000-0008-0000-0800-00002C000000}"/>
            </a:ext>
          </a:extLst>
        </xdr:cNvPr>
        <xdr:cNvSpPr txBox="1">
          <a:spLocks noChangeArrowheads="1"/>
        </xdr:cNvSpPr>
      </xdr:nvSpPr>
      <xdr:spPr bwMode="auto">
        <a:xfrm>
          <a:off x="5934075" y="634365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42"/>
  <sheetViews>
    <sheetView zoomScale="85" zoomScaleNormal="85" workbookViewId="0">
      <selection activeCell="L20" sqref="L20"/>
    </sheetView>
  </sheetViews>
  <sheetFormatPr defaultColWidth="9" defaultRowHeight="13" x14ac:dyDescent="0.2"/>
  <cols>
    <col min="1" max="1" width="1.7265625" style="185" customWidth="1"/>
    <col min="2" max="2" width="5" style="185" customWidth="1"/>
    <col min="3" max="3" width="7" style="185" customWidth="1"/>
    <col min="4" max="4" width="18" style="185" customWidth="1"/>
    <col min="5" max="5" width="8" style="185" hidden="1" customWidth="1"/>
    <col min="6" max="6" width="5" style="185" customWidth="1"/>
    <col min="7" max="7" width="10.90625" style="185" customWidth="1"/>
    <col min="8" max="8" width="8.36328125" style="185" customWidth="1"/>
    <col min="9" max="9" width="8.6328125" style="185" customWidth="1"/>
    <col min="10" max="10" width="5" style="185" customWidth="1"/>
    <col min="11" max="11" width="8.453125" style="185" customWidth="1"/>
    <col min="12" max="12" width="10.90625" style="185" customWidth="1"/>
    <col min="13" max="13" width="9.453125" style="185" customWidth="1"/>
    <col min="14" max="14" width="7.90625" style="185" customWidth="1"/>
    <col min="15" max="15" width="8" style="185" customWidth="1"/>
    <col min="16" max="16" width="12" style="185" bestFit="1" customWidth="1"/>
    <col min="17" max="17" width="11.6328125" style="185" customWidth="1"/>
    <col min="18" max="18" width="1.08984375" style="185" customWidth="1"/>
    <col min="19" max="19" width="4.90625" style="185" customWidth="1"/>
    <col min="20" max="22" width="7.6328125" style="185" hidden="1" customWidth="1"/>
    <col min="23" max="23" width="8.26953125" style="185" customWidth="1"/>
    <col min="24" max="25" width="7.6328125" style="185" customWidth="1"/>
    <col min="26" max="26" width="4.453125" style="185" customWidth="1"/>
    <col min="27" max="29" width="8" style="185" customWidth="1"/>
    <col min="30" max="16384" width="9" style="185"/>
  </cols>
  <sheetData>
    <row r="1" spans="1:29" ht="9.75" customHeight="1" thickBot="1" x14ac:dyDescent="0.25">
      <c r="A1" s="103"/>
      <c r="B1" s="103"/>
      <c r="C1" s="103"/>
      <c r="D1" s="103"/>
      <c r="E1" s="103"/>
      <c r="F1" s="103"/>
      <c r="G1" s="103"/>
      <c r="H1" s="103"/>
      <c r="I1" s="103"/>
      <c r="J1" s="103"/>
      <c r="K1" s="103"/>
      <c r="L1" s="103"/>
      <c r="M1" s="103"/>
      <c r="N1" s="103"/>
      <c r="O1" s="103"/>
      <c r="P1" s="103"/>
      <c r="Q1" s="103"/>
      <c r="R1" s="103"/>
      <c r="S1" s="103"/>
    </row>
    <row r="2" spans="1:29" ht="21" x14ac:dyDescent="0.3">
      <c r="A2" s="103"/>
      <c r="B2" s="94"/>
      <c r="C2" s="95"/>
      <c r="D2" s="575" t="str">
        <f>参照ﾃﾞｰﾀ!F4</f>
        <v>2025年</v>
      </c>
      <c r="E2" s="575"/>
      <c r="F2" s="575"/>
      <c r="G2" s="96" t="s">
        <v>169</v>
      </c>
      <c r="H2" s="97"/>
      <c r="I2" s="98"/>
      <c r="J2" s="94"/>
      <c r="K2" s="99"/>
      <c r="L2" s="94"/>
      <c r="M2" s="100" t="s">
        <v>40</v>
      </c>
      <c r="N2" s="101" t="s">
        <v>209</v>
      </c>
      <c r="O2" s="102" t="s">
        <v>42</v>
      </c>
      <c r="P2" s="230">
        <v>45858</v>
      </c>
      <c r="Q2" s="231">
        <v>0.4513888888888889</v>
      </c>
      <c r="R2" s="322"/>
      <c r="S2" s="94"/>
      <c r="T2" s="187" t="s">
        <v>2</v>
      </c>
      <c r="U2" s="186"/>
      <c r="V2" s="186"/>
      <c r="W2" s="187" t="str">
        <f>参照ＴＡ!B3</f>
        <v>2025年</v>
      </c>
      <c r="X2" s="187" t="str">
        <f>参照ＴＡ!D3</f>
        <v>7月</v>
      </c>
      <c r="Y2" s="186"/>
      <c r="Z2" s="186"/>
    </row>
    <row r="3" spans="1:29" ht="21.75" customHeight="1" thickBot="1" x14ac:dyDescent="0.35">
      <c r="A3" s="103"/>
      <c r="B3" s="94"/>
      <c r="C3" s="103"/>
      <c r="D3" s="104" t="s">
        <v>268</v>
      </c>
      <c r="E3" s="576" t="s">
        <v>286</v>
      </c>
      <c r="F3" s="576"/>
      <c r="G3" s="576"/>
      <c r="H3" s="576"/>
      <c r="I3" s="576"/>
      <c r="J3" s="577" t="s">
        <v>72</v>
      </c>
      <c r="K3" s="577"/>
      <c r="L3" s="94"/>
      <c r="M3" s="105" t="s">
        <v>63</v>
      </c>
      <c r="N3" s="106">
        <f>IF(ISBLANK(N2),"",VLOOKUP(N2,コース・距離,2,FALSE))</f>
        <v>8</v>
      </c>
      <c r="O3" s="107" t="s">
        <v>0</v>
      </c>
      <c r="P3" s="108">
        <v>10</v>
      </c>
      <c r="Q3" s="109" t="s">
        <v>1</v>
      </c>
      <c r="R3" s="323"/>
      <c r="S3" s="94"/>
      <c r="T3" s="186" t="s">
        <v>193</v>
      </c>
      <c r="U3" s="186"/>
      <c r="V3" s="186"/>
      <c r="W3" s="187" t="s">
        <v>2</v>
      </c>
      <c r="X3" s="186"/>
      <c r="Y3" s="186"/>
      <c r="Z3" s="186"/>
      <c r="AA3" s="188" t="s">
        <v>64</v>
      </c>
    </row>
    <row r="4" spans="1:29" ht="7.5" customHeight="1" thickBot="1" x14ac:dyDescent="0.3">
      <c r="A4" s="103"/>
      <c r="B4" s="94"/>
      <c r="C4" s="94"/>
      <c r="D4" s="94"/>
      <c r="E4" s="94"/>
      <c r="F4" s="94"/>
      <c r="G4" s="94"/>
      <c r="H4" s="94"/>
      <c r="I4" s="94"/>
      <c r="J4" s="94"/>
      <c r="K4" s="94"/>
      <c r="L4" s="94"/>
      <c r="M4" s="94"/>
      <c r="N4" s="94"/>
      <c r="O4" s="94"/>
      <c r="P4" s="94"/>
      <c r="Q4" s="94"/>
      <c r="R4" s="94"/>
      <c r="S4" s="94"/>
      <c r="T4" s="186"/>
      <c r="U4" s="186"/>
      <c r="V4" s="186"/>
      <c r="W4" s="189"/>
      <c r="X4" s="186"/>
      <c r="Y4" s="186"/>
      <c r="Z4" s="186"/>
    </row>
    <row r="5" spans="1:29" ht="14" x14ac:dyDescent="0.2">
      <c r="A5" s="103"/>
      <c r="B5" s="110" t="s">
        <v>3</v>
      </c>
      <c r="C5" s="111" t="s">
        <v>4</v>
      </c>
      <c r="D5" s="111" t="s">
        <v>5</v>
      </c>
      <c r="E5" s="111" t="s">
        <v>6</v>
      </c>
      <c r="F5" s="111" t="s">
        <v>7</v>
      </c>
      <c r="G5" s="111" t="s">
        <v>8</v>
      </c>
      <c r="H5" s="111" t="s">
        <v>9</v>
      </c>
      <c r="I5" s="111" t="s">
        <v>10</v>
      </c>
      <c r="J5" s="111" t="s">
        <v>11</v>
      </c>
      <c r="K5" s="111" t="s">
        <v>12</v>
      </c>
      <c r="L5" s="112" t="s">
        <v>205</v>
      </c>
      <c r="M5" s="112" t="s">
        <v>202</v>
      </c>
      <c r="N5" s="111" t="s">
        <v>59</v>
      </c>
      <c r="O5" s="111" t="s">
        <v>13</v>
      </c>
      <c r="P5" s="578" t="s">
        <v>58</v>
      </c>
      <c r="Q5" s="579"/>
      <c r="R5" s="324"/>
      <c r="S5" s="183"/>
      <c r="T5" s="192" t="s">
        <v>10</v>
      </c>
      <c r="U5" s="190" t="s">
        <v>10</v>
      </c>
      <c r="V5" s="193" t="s">
        <v>10</v>
      </c>
      <c r="W5" s="192" t="s">
        <v>10</v>
      </c>
      <c r="X5" s="190" t="s">
        <v>10</v>
      </c>
      <c r="Y5" s="193" t="s">
        <v>10</v>
      </c>
      <c r="Z5" s="191"/>
      <c r="AA5" s="192" t="s">
        <v>13</v>
      </c>
      <c r="AB5" s="190" t="s">
        <v>13</v>
      </c>
      <c r="AC5" s="193" t="s">
        <v>13</v>
      </c>
    </row>
    <row r="6" spans="1:29" ht="14" x14ac:dyDescent="0.2">
      <c r="A6" s="103"/>
      <c r="B6" s="113"/>
      <c r="C6" s="114" t="s">
        <v>14</v>
      </c>
      <c r="D6" s="115"/>
      <c r="E6" s="116" t="s">
        <v>15</v>
      </c>
      <c r="F6" s="116"/>
      <c r="G6" s="114" t="s">
        <v>16</v>
      </c>
      <c r="H6" s="116" t="s">
        <v>17</v>
      </c>
      <c r="I6" s="114" t="s">
        <v>191</v>
      </c>
      <c r="J6" s="116" t="s">
        <v>18</v>
      </c>
      <c r="K6" s="116" t="s">
        <v>17</v>
      </c>
      <c r="L6" s="114" t="s">
        <v>16</v>
      </c>
      <c r="M6" s="116" t="s">
        <v>34</v>
      </c>
      <c r="N6" s="116" t="s">
        <v>19</v>
      </c>
      <c r="O6" s="117" t="str">
        <f>"MAX=20"</f>
        <v>MAX=20</v>
      </c>
      <c r="P6" s="118"/>
      <c r="Q6" s="119"/>
      <c r="R6" s="183"/>
      <c r="S6" s="184"/>
      <c r="T6" s="196" t="s">
        <v>20</v>
      </c>
      <c r="U6" s="194" t="s">
        <v>22</v>
      </c>
      <c r="V6" s="197" t="s">
        <v>21</v>
      </c>
      <c r="W6" s="196" t="s">
        <v>20</v>
      </c>
      <c r="X6" s="194" t="s">
        <v>22</v>
      </c>
      <c r="Y6" s="197" t="s">
        <v>21</v>
      </c>
      <c r="Z6" s="195"/>
      <c r="AA6" s="196" t="s">
        <v>66</v>
      </c>
      <c r="AB6" s="194" t="s">
        <v>67</v>
      </c>
      <c r="AC6" s="197" t="s">
        <v>68</v>
      </c>
    </row>
    <row r="7" spans="1:29" ht="14" x14ac:dyDescent="0.2">
      <c r="A7" s="103"/>
      <c r="B7" s="432">
        <v>1</v>
      </c>
      <c r="C7" s="221">
        <v>312</v>
      </c>
      <c r="D7" s="222" t="str">
        <f t="shared" ref="D7:D14" si="0">IF(ISBLANK(C7),"",VLOOKUP(C7,第1月ＴＡ,2,FALSE))</f>
        <v>はやとり</v>
      </c>
      <c r="E7" s="433" t="e">
        <f t="shared" ref="E7:E14" si="1">IF($I$6="Ⅰ",T7,IF($I$6="Ⅱ",U7,IF($I$6="Ⅲ",V7,"")))</f>
        <v>#REF!</v>
      </c>
      <c r="F7" s="434">
        <v>2</v>
      </c>
      <c r="G7" s="435">
        <v>0.51230324074074074</v>
      </c>
      <c r="H7" s="221">
        <v>5262.9999999999991</v>
      </c>
      <c r="I7" s="436">
        <v>594.27499999999998</v>
      </c>
      <c r="J7" s="434"/>
      <c r="K7" s="437">
        <v>508.79999999999927</v>
      </c>
      <c r="L7" s="435">
        <v>0</v>
      </c>
      <c r="M7" s="251">
        <v>0</v>
      </c>
      <c r="N7" s="438">
        <v>5.4721641649249486</v>
      </c>
      <c r="O7" s="198">
        <v>20</v>
      </c>
      <c r="P7" s="439"/>
      <c r="Q7" s="440"/>
      <c r="R7" s="183"/>
      <c r="S7" s="183"/>
      <c r="T7" s="199" t="e">
        <f t="shared" ref="T7:T31" si="2">IF(ISBLANK(C7),"",VLOOKUP(C7,各艇データ,3,FALSE))</f>
        <v>#REF!</v>
      </c>
      <c r="U7" s="200" t="e">
        <f t="shared" ref="U7:U31" si="3">IF(ISBLANK(C7),"",VLOOKUP(C7,各艇データ,4,FALSE))</f>
        <v>#REF!</v>
      </c>
      <c r="V7" s="201" t="e">
        <f t="shared" ref="V7:V31" si="4">IF(ISBLANK(C7),"",VLOOKUP(C7,各艇データ,5,FALSE))</f>
        <v>#REF!</v>
      </c>
      <c r="W7" s="417">
        <f t="shared" ref="W7:W31" si="5">IF(ISBLANK(C7),"",VLOOKUP(C7,第1月ＴＡ,3,FALSE))</f>
        <v>895.25</v>
      </c>
      <c r="X7" s="418">
        <f t="shared" ref="X7:X31" si="6">IF(ISBLANK(C7),"",VLOOKUP(C7,第1月ＴＡ,4,FALSE))</f>
        <v>594.27499999999998</v>
      </c>
      <c r="Y7" s="202">
        <f t="shared" ref="Y7:Y31" si="7">IF(ISBLANK(C7),"",VLOOKUP(C7,第1月ＴＡ,5,FALSE))</f>
        <v>540.29999999999995</v>
      </c>
      <c r="Z7" s="191"/>
      <c r="AA7" s="203">
        <f>IF(ISBLANK(B7),"",IFERROR(20*($P$3+1-$B7)/$P$3,"20.0"))</f>
        <v>20</v>
      </c>
      <c r="AB7" s="198">
        <f>IF(ISBLANK(B7),"",IFERROR(30*($P$3+1-$B7)/$P$3,"30.0"))</f>
        <v>30</v>
      </c>
      <c r="AC7" s="204">
        <f>IF(ISBLANK(B7),"",IFERROR(30*($P$3-$B7)/($P$3-1)+10,"20.0"))</f>
        <v>40</v>
      </c>
    </row>
    <row r="8" spans="1:29" ht="14" x14ac:dyDescent="0.2">
      <c r="A8" s="103"/>
      <c r="B8" s="441">
        <v>2</v>
      </c>
      <c r="C8" s="223">
        <v>321</v>
      </c>
      <c r="D8" s="224" t="str">
        <f t="shared" si="0"/>
        <v>かまくら</v>
      </c>
      <c r="E8" s="442" t="e">
        <f t="shared" si="1"/>
        <v>#REF!</v>
      </c>
      <c r="F8" s="443">
        <v>1</v>
      </c>
      <c r="G8" s="444">
        <v>0.51064814814814818</v>
      </c>
      <c r="H8" s="223">
        <v>5120.0000000000027</v>
      </c>
      <c r="I8" s="445">
        <v>566.375</v>
      </c>
      <c r="J8" s="443"/>
      <c r="K8" s="446">
        <v>589.00000000000273</v>
      </c>
      <c r="L8" s="444">
        <v>9.2824074074078077E-4</v>
      </c>
      <c r="M8" s="258">
        <v>10.025000000000432</v>
      </c>
      <c r="N8" s="447">
        <v>5.6249999999999973</v>
      </c>
      <c r="O8" s="448">
        <v>18</v>
      </c>
      <c r="P8" s="449"/>
      <c r="Q8" s="450"/>
      <c r="R8" s="183"/>
      <c r="S8" s="183"/>
      <c r="T8" s="199" t="e">
        <f t="shared" si="2"/>
        <v>#REF!</v>
      </c>
      <c r="U8" s="200" t="e">
        <f t="shared" si="3"/>
        <v>#REF!</v>
      </c>
      <c r="V8" s="201" t="e">
        <f t="shared" si="4"/>
        <v>#REF!</v>
      </c>
      <c r="W8" s="417">
        <f t="shared" si="5"/>
        <v>845.65</v>
      </c>
      <c r="X8" s="418">
        <f t="shared" si="6"/>
        <v>566.375</v>
      </c>
      <c r="Y8" s="202">
        <f t="shared" si="7"/>
        <v>508.7</v>
      </c>
      <c r="Z8" s="191"/>
      <c r="AA8" s="203">
        <f t="shared" ref="AA8:AA31" si="8">IF(ISBLANK(B8),"",IFERROR(20*($P$3+1-$B8)/$P$3,"20.0"))</f>
        <v>18</v>
      </c>
      <c r="AB8" s="198">
        <f t="shared" ref="AB8:AB31" si="9">IF(ISBLANK(B8),"",IFERROR(30*($P$3+1-$B8)/$P$3,"30.0"))</f>
        <v>27</v>
      </c>
      <c r="AC8" s="204">
        <f t="shared" ref="AC8:AC31" si="10">IF(ISBLANK(B8),"",IFERROR(30*($P$3-$B8)/($P$3-1)+10,"20.0"))</f>
        <v>36.666666666666671</v>
      </c>
    </row>
    <row r="9" spans="1:29" ht="14" x14ac:dyDescent="0.2">
      <c r="A9" s="103"/>
      <c r="B9" s="441">
        <v>3</v>
      </c>
      <c r="C9" s="223">
        <v>7177</v>
      </c>
      <c r="D9" s="224" t="str">
        <f t="shared" si="0"/>
        <v>Miss Emica</v>
      </c>
      <c r="E9" s="442" t="e">
        <f t="shared" si="1"/>
        <v>#REF!</v>
      </c>
      <c r="F9" s="443">
        <v>5</v>
      </c>
      <c r="G9" s="444">
        <v>0.51579861111111114</v>
      </c>
      <c r="H9" s="223">
        <v>5565.0000000000018</v>
      </c>
      <c r="I9" s="445">
        <v>608.85</v>
      </c>
      <c r="J9" s="443"/>
      <c r="K9" s="446">
        <v>694.20000000000164</v>
      </c>
      <c r="L9" s="444">
        <v>2.1458333333333607E-3</v>
      </c>
      <c r="M9" s="258">
        <v>23.175000000000296</v>
      </c>
      <c r="N9" s="447">
        <v>5.1752021563342305</v>
      </c>
      <c r="O9" s="448">
        <v>16</v>
      </c>
      <c r="P9" s="449"/>
      <c r="Q9" s="450"/>
      <c r="R9" s="183"/>
      <c r="S9" s="183"/>
      <c r="T9" s="199" t="e">
        <f t="shared" si="2"/>
        <v>#REF!</v>
      </c>
      <c r="U9" s="200" t="e">
        <f t="shared" si="3"/>
        <v>#REF!</v>
      </c>
      <c r="V9" s="201" t="e">
        <f t="shared" si="4"/>
        <v>#REF!</v>
      </c>
      <c r="W9" s="417">
        <f t="shared" si="5"/>
        <v>932.45</v>
      </c>
      <c r="X9" s="418">
        <f t="shared" si="6"/>
        <v>608.85</v>
      </c>
      <c r="Y9" s="202">
        <f t="shared" si="7"/>
        <v>550.20000000000005</v>
      </c>
      <c r="Z9" s="191"/>
      <c r="AA9" s="203">
        <f t="shared" si="8"/>
        <v>16</v>
      </c>
      <c r="AB9" s="198">
        <f t="shared" si="9"/>
        <v>24</v>
      </c>
      <c r="AC9" s="204">
        <f t="shared" si="10"/>
        <v>33.333333333333329</v>
      </c>
    </row>
    <row r="10" spans="1:29" ht="14" x14ac:dyDescent="0.2">
      <c r="A10" s="103"/>
      <c r="B10" s="441">
        <v>4</v>
      </c>
      <c r="C10" s="223">
        <v>2759</v>
      </c>
      <c r="D10" s="224" t="str">
        <f t="shared" si="0"/>
        <v>IXORA Ⅳ</v>
      </c>
      <c r="E10" s="442" t="e">
        <f t="shared" si="1"/>
        <v>#REF!</v>
      </c>
      <c r="F10" s="443">
        <v>3</v>
      </c>
      <c r="G10" s="444">
        <v>0.51270833333333332</v>
      </c>
      <c r="H10" s="223">
        <v>5297.9999999999982</v>
      </c>
      <c r="I10" s="445">
        <v>565.70000000000005</v>
      </c>
      <c r="J10" s="443"/>
      <c r="K10" s="446">
        <v>772.39999999999782</v>
      </c>
      <c r="L10" s="444">
        <v>3.0509259259259092E-3</v>
      </c>
      <c r="M10" s="258">
        <v>32.949999999999818</v>
      </c>
      <c r="N10" s="447">
        <v>5.4360135900339763</v>
      </c>
      <c r="O10" s="448">
        <v>14</v>
      </c>
      <c r="P10" s="451"/>
      <c r="Q10" s="450"/>
      <c r="R10" s="183"/>
      <c r="S10" s="183"/>
      <c r="T10" s="199" t="e">
        <f t="shared" si="2"/>
        <v>#REF!</v>
      </c>
      <c r="U10" s="200" t="e">
        <f t="shared" si="3"/>
        <v>#REF!</v>
      </c>
      <c r="V10" s="201" t="e">
        <f t="shared" si="4"/>
        <v>#REF!</v>
      </c>
      <c r="W10" s="417">
        <f t="shared" si="5"/>
        <v>831.15</v>
      </c>
      <c r="X10" s="418">
        <f t="shared" si="6"/>
        <v>565.70000000000005</v>
      </c>
      <c r="Y10" s="202">
        <f t="shared" si="7"/>
        <v>508.8</v>
      </c>
      <c r="Z10" s="191"/>
      <c r="AA10" s="203">
        <f t="shared" si="8"/>
        <v>14</v>
      </c>
      <c r="AB10" s="198">
        <f t="shared" si="9"/>
        <v>21</v>
      </c>
      <c r="AC10" s="204">
        <f t="shared" si="10"/>
        <v>30</v>
      </c>
    </row>
    <row r="11" spans="1:29" ht="14" x14ac:dyDescent="0.2">
      <c r="A11" s="103"/>
      <c r="B11" s="452">
        <v>5</v>
      </c>
      <c r="C11" s="223">
        <v>4020</v>
      </c>
      <c r="D11" s="226" t="str">
        <f t="shared" si="0"/>
        <v>MELTEMI</v>
      </c>
      <c r="E11" s="453" t="e">
        <f t="shared" si="1"/>
        <v>#REF!</v>
      </c>
      <c r="F11" s="454">
        <v>7</v>
      </c>
      <c r="G11" s="455">
        <v>0.52093750000000005</v>
      </c>
      <c r="H11" s="456">
        <v>6009.0000000000036</v>
      </c>
      <c r="I11" s="457">
        <v>607.75</v>
      </c>
      <c r="J11" s="458"/>
      <c r="K11" s="459">
        <v>1147.0000000000036</v>
      </c>
      <c r="L11" s="460">
        <v>7.3865740740741244E-3</v>
      </c>
      <c r="M11" s="461">
        <v>79.775000000000546</v>
      </c>
      <c r="N11" s="462">
        <v>4.7928107838242608</v>
      </c>
      <c r="O11" s="463">
        <v>12</v>
      </c>
      <c r="P11" s="464"/>
      <c r="Q11" s="465"/>
      <c r="R11" s="183"/>
      <c r="S11" s="183"/>
      <c r="T11" s="199" t="e">
        <f t="shared" si="2"/>
        <v>#REF!</v>
      </c>
      <c r="U11" s="200" t="e">
        <f t="shared" si="3"/>
        <v>#REF!</v>
      </c>
      <c r="V11" s="201" t="e">
        <f t="shared" si="4"/>
        <v>#REF!</v>
      </c>
      <c r="W11" s="417">
        <f t="shared" si="5"/>
        <v>886.2</v>
      </c>
      <c r="X11" s="418">
        <f t="shared" si="6"/>
        <v>607.75</v>
      </c>
      <c r="Y11" s="202">
        <f t="shared" si="7"/>
        <v>555.15</v>
      </c>
      <c r="Z11" s="191"/>
      <c r="AA11" s="203">
        <f t="shared" si="8"/>
        <v>12</v>
      </c>
      <c r="AB11" s="198">
        <f t="shared" si="9"/>
        <v>18</v>
      </c>
      <c r="AC11" s="204">
        <f t="shared" si="10"/>
        <v>26.666666666666668</v>
      </c>
    </row>
    <row r="12" spans="1:29" ht="14" x14ac:dyDescent="0.2">
      <c r="A12" s="103"/>
      <c r="B12" s="432">
        <v>6</v>
      </c>
      <c r="C12" s="221">
        <v>6269</v>
      </c>
      <c r="D12" s="229" t="str">
        <f t="shared" si="0"/>
        <v>VITTORIA</v>
      </c>
      <c r="E12" s="433" t="e">
        <f t="shared" si="1"/>
        <v>#REF!</v>
      </c>
      <c r="F12" s="434">
        <v>4</v>
      </c>
      <c r="G12" s="435">
        <v>0.5151041666666667</v>
      </c>
      <c r="H12" s="221">
        <v>5505.0000000000018</v>
      </c>
      <c r="I12" s="436">
        <v>542.56262500000003</v>
      </c>
      <c r="J12" s="434"/>
      <c r="K12" s="437">
        <v>1164.4990000000016</v>
      </c>
      <c r="L12" s="435">
        <v>7.5891087962963238E-3</v>
      </c>
      <c r="M12" s="251">
        <v>81.962375000000293</v>
      </c>
      <c r="N12" s="438">
        <v>5.2316076294277911</v>
      </c>
      <c r="O12" s="198">
        <v>10</v>
      </c>
      <c r="P12" s="185" t="s">
        <v>300</v>
      </c>
      <c r="Q12" s="440"/>
      <c r="R12" s="183"/>
      <c r="S12" s="183"/>
      <c r="T12" s="199" t="e">
        <f t="shared" si="2"/>
        <v>#REF!</v>
      </c>
      <c r="U12" s="200" t="e">
        <f t="shared" si="3"/>
        <v>#REF!</v>
      </c>
      <c r="V12" s="201" t="e">
        <f t="shared" si="4"/>
        <v>#REF!</v>
      </c>
      <c r="W12" s="417">
        <f t="shared" si="5"/>
        <v>798.60199999999998</v>
      </c>
      <c r="X12" s="418">
        <f t="shared" si="6"/>
        <v>542.56262500000003</v>
      </c>
      <c r="Y12" s="202">
        <f t="shared" si="7"/>
        <v>492.52499999999998</v>
      </c>
      <c r="Z12" s="191"/>
      <c r="AA12" s="203">
        <f t="shared" si="8"/>
        <v>10</v>
      </c>
      <c r="AB12" s="198">
        <f t="shared" si="9"/>
        <v>15</v>
      </c>
      <c r="AC12" s="204">
        <f t="shared" si="10"/>
        <v>23.333333333333336</v>
      </c>
    </row>
    <row r="13" spans="1:29" ht="14" x14ac:dyDescent="0.2">
      <c r="A13" s="103"/>
      <c r="B13" s="441">
        <v>7</v>
      </c>
      <c r="C13" s="223">
        <v>1733</v>
      </c>
      <c r="D13" s="224" t="str">
        <f t="shared" si="0"/>
        <v>ケロニア</v>
      </c>
      <c r="E13" s="442" t="e">
        <f t="shared" si="1"/>
        <v>#REF!</v>
      </c>
      <c r="F13" s="443">
        <v>6</v>
      </c>
      <c r="G13" s="444">
        <v>0.5176736111111111</v>
      </c>
      <c r="H13" s="223">
        <v>5726.9999999999982</v>
      </c>
      <c r="I13" s="445">
        <v>559.9</v>
      </c>
      <c r="J13" s="443"/>
      <c r="K13" s="446">
        <v>1247.7999999999984</v>
      </c>
      <c r="L13" s="444">
        <v>8.5532407407407311E-3</v>
      </c>
      <c r="M13" s="258">
        <v>92.374999999999886</v>
      </c>
      <c r="N13" s="447">
        <v>5.0288108957569424</v>
      </c>
      <c r="O13" s="448">
        <v>8</v>
      </c>
      <c r="P13" s="466"/>
      <c r="Q13" s="450"/>
      <c r="R13" s="183"/>
      <c r="S13" s="183"/>
      <c r="T13" s="199" t="e">
        <f t="shared" si="2"/>
        <v>#REF!</v>
      </c>
      <c r="U13" s="200" t="e">
        <f t="shared" si="3"/>
        <v>#REF!</v>
      </c>
      <c r="V13" s="201" t="e">
        <f t="shared" si="4"/>
        <v>#REF!</v>
      </c>
      <c r="W13" s="417">
        <f t="shared" si="5"/>
        <v>852.05</v>
      </c>
      <c r="X13" s="418">
        <f t="shared" si="6"/>
        <v>559.9</v>
      </c>
      <c r="Y13" s="202">
        <f t="shared" si="7"/>
        <v>501.85</v>
      </c>
      <c r="Z13" s="191"/>
      <c r="AA13" s="203">
        <f t="shared" si="8"/>
        <v>8</v>
      </c>
      <c r="AB13" s="198">
        <f t="shared" si="9"/>
        <v>12</v>
      </c>
      <c r="AC13" s="204">
        <f t="shared" si="10"/>
        <v>20</v>
      </c>
    </row>
    <row r="14" spans="1:29" ht="14" x14ac:dyDescent="0.2">
      <c r="A14" s="103"/>
      <c r="B14" s="441">
        <v>8</v>
      </c>
      <c r="C14" s="223">
        <v>6732</v>
      </c>
      <c r="D14" s="224" t="str">
        <f t="shared" si="0"/>
        <v>アイデアル</v>
      </c>
      <c r="E14" s="442" t="e">
        <f t="shared" si="1"/>
        <v>#REF!</v>
      </c>
      <c r="F14" s="443">
        <v>8</v>
      </c>
      <c r="G14" s="444">
        <v>0.53695601851851849</v>
      </c>
      <c r="H14" s="223">
        <v>7392.9999999999964</v>
      </c>
      <c r="I14" s="445">
        <v>571.993913255998</v>
      </c>
      <c r="J14" s="443"/>
      <c r="K14" s="446">
        <v>2817.0486939520124</v>
      </c>
      <c r="L14" s="444">
        <v>2.6715841365185337E-2</v>
      </c>
      <c r="M14" s="258">
        <v>288.53108674400164</v>
      </c>
      <c r="N14" s="447">
        <v>3.8955768970647928</v>
      </c>
      <c r="O14" s="448">
        <v>6</v>
      </c>
      <c r="P14" s="449"/>
      <c r="Q14" s="450"/>
      <c r="R14" s="183"/>
      <c r="S14" s="183"/>
      <c r="T14" s="199" t="e">
        <f t="shared" si="2"/>
        <v>#REF!</v>
      </c>
      <c r="U14" s="200" t="e">
        <f t="shared" si="3"/>
        <v>#REF!</v>
      </c>
      <c r="V14" s="201" t="e">
        <f t="shared" si="4"/>
        <v>#REF!</v>
      </c>
      <c r="W14" s="417">
        <f t="shared" si="5"/>
        <v>855.39381721722395</v>
      </c>
      <c r="X14" s="418">
        <f t="shared" si="6"/>
        <v>571.993913255998</v>
      </c>
      <c r="Y14" s="202">
        <f t="shared" si="7"/>
        <v>520.62384764970795</v>
      </c>
      <c r="Z14" s="191"/>
      <c r="AA14" s="203">
        <f t="shared" si="8"/>
        <v>6</v>
      </c>
      <c r="AB14" s="198">
        <f t="shared" si="9"/>
        <v>9</v>
      </c>
      <c r="AC14" s="204">
        <f t="shared" si="10"/>
        <v>16.666666666666668</v>
      </c>
    </row>
    <row r="15" spans="1:29" ht="14" x14ac:dyDescent="0.2">
      <c r="A15" s="103"/>
      <c r="B15" s="441">
        <v>9</v>
      </c>
      <c r="C15" s="223"/>
      <c r="D15" s="224" t="str">
        <f t="shared" ref="D15:D31" si="11">IF(ISBLANK(C15),"",VLOOKUP(C15,第1月ＴＡ,2,FALSE))</f>
        <v/>
      </c>
      <c r="E15" s="442" t="str">
        <f t="shared" ref="E15:E23" si="12">IF($I$6="Ⅰ",T15,IF($I$6="Ⅱ",U15,IF($I$6="Ⅲ",V15,"")))</f>
        <v/>
      </c>
      <c r="F15" s="443"/>
      <c r="G15" s="444"/>
      <c r="H15" s="223" t="s">
        <v>74</v>
      </c>
      <c r="I15" s="445" t="s">
        <v>74</v>
      </c>
      <c r="J15" s="443"/>
      <c r="K15" s="446" t="s">
        <v>74</v>
      </c>
      <c r="L15" s="444" t="s">
        <v>74</v>
      </c>
      <c r="M15" s="258" t="s">
        <v>74</v>
      </c>
      <c r="N15" s="447" t="s">
        <v>74</v>
      </c>
      <c r="O15" s="448"/>
      <c r="P15" s="466"/>
      <c r="Q15" s="450"/>
      <c r="R15" s="183"/>
      <c r="S15" s="183"/>
      <c r="T15" s="199" t="str">
        <f t="shared" si="2"/>
        <v/>
      </c>
      <c r="U15" s="200" t="str">
        <f t="shared" si="3"/>
        <v/>
      </c>
      <c r="V15" s="201" t="str">
        <f t="shared" si="4"/>
        <v/>
      </c>
      <c r="W15" s="417" t="str">
        <f t="shared" si="5"/>
        <v/>
      </c>
      <c r="X15" s="418" t="str">
        <f t="shared" si="6"/>
        <v/>
      </c>
      <c r="Y15" s="202" t="str">
        <f t="shared" si="7"/>
        <v/>
      </c>
      <c r="Z15" s="191"/>
      <c r="AA15" s="203">
        <f t="shared" si="8"/>
        <v>4</v>
      </c>
      <c r="AB15" s="198">
        <f t="shared" si="9"/>
        <v>6</v>
      </c>
      <c r="AC15" s="204">
        <f t="shared" si="10"/>
        <v>13.333333333333334</v>
      </c>
    </row>
    <row r="16" spans="1:29" ht="14" x14ac:dyDescent="0.2">
      <c r="A16" s="103"/>
      <c r="B16" s="452">
        <v>10</v>
      </c>
      <c r="C16" s="223"/>
      <c r="D16" s="226" t="str">
        <f t="shared" si="11"/>
        <v/>
      </c>
      <c r="E16" s="453" t="str">
        <f t="shared" si="12"/>
        <v/>
      </c>
      <c r="F16" s="454"/>
      <c r="G16" s="455"/>
      <c r="H16" s="456" t="s">
        <v>74</v>
      </c>
      <c r="I16" s="457" t="s">
        <v>74</v>
      </c>
      <c r="J16" s="458"/>
      <c r="K16" s="459" t="s">
        <v>74</v>
      </c>
      <c r="L16" s="460" t="s">
        <v>74</v>
      </c>
      <c r="M16" s="461" t="s">
        <v>74</v>
      </c>
      <c r="N16" s="462" t="s">
        <v>74</v>
      </c>
      <c r="O16" s="467"/>
      <c r="P16" s="468"/>
      <c r="Q16" s="465"/>
      <c r="R16" s="183"/>
      <c r="S16" s="183"/>
      <c r="T16" s="199" t="str">
        <f t="shared" si="2"/>
        <v/>
      </c>
      <c r="U16" s="200" t="str">
        <f t="shared" si="3"/>
        <v/>
      </c>
      <c r="V16" s="201" t="str">
        <f t="shared" si="4"/>
        <v/>
      </c>
      <c r="W16" s="417" t="str">
        <f t="shared" si="5"/>
        <v/>
      </c>
      <c r="X16" s="418" t="str">
        <f t="shared" si="6"/>
        <v/>
      </c>
      <c r="Y16" s="202" t="str">
        <f t="shared" si="7"/>
        <v/>
      </c>
      <c r="Z16" s="191"/>
      <c r="AA16" s="203">
        <f t="shared" si="8"/>
        <v>2</v>
      </c>
      <c r="AB16" s="198">
        <f t="shared" si="9"/>
        <v>3</v>
      </c>
      <c r="AC16" s="204">
        <f t="shared" si="10"/>
        <v>10</v>
      </c>
    </row>
    <row r="17" spans="1:29" ht="14" x14ac:dyDescent="0.2">
      <c r="A17" s="103"/>
      <c r="B17" s="432">
        <v>11</v>
      </c>
      <c r="C17" s="221">
        <v>1611</v>
      </c>
      <c r="D17" s="229" t="str">
        <f t="shared" si="11"/>
        <v>ﾈﾌﾟﾁｭｰﾝXⅡ</v>
      </c>
      <c r="E17" s="433" t="e">
        <f t="shared" si="12"/>
        <v>#REF!</v>
      </c>
      <c r="F17" s="434"/>
      <c r="G17" s="435"/>
      <c r="H17" s="221" t="s">
        <v>74</v>
      </c>
      <c r="I17" s="436"/>
      <c r="J17" s="434"/>
      <c r="K17" s="437" t="s">
        <v>74</v>
      </c>
      <c r="L17" s="435" t="s">
        <v>74</v>
      </c>
      <c r="M17" s="251" t="s">
        <v>74</v>
      </c>
      <c r="N17" s="438" t="s">
        <v>74</v>
      </c>
      <c r="O17" s="198">
        <v>1</v>
      </c>
      <c r="P17" s="469" t="s">
        <v>301</v>
      </c>
      <c r="Q17" s="440"/>
      <c r="R17" s="183"/>
      <c r="S17" s="183"/>
      <c r="T17" s="199" t="e">
        <f t="shared" si="2"/>
        <v>#REF!</v>
      </c>
      <c r="U17" s="200" t="e">
        <f t="shared" si="3"/>
        <v>#REF!</v>
      </c>
      <c r="V17" s="201" t="e">
        <f t="shared" si="4"/>
        <v>#REF!</v>
      </c>
      <c r="W17" s="417">
        <f t="shared" si="5"/>
        <v>921.65</v>
      </c>
      <c r="X17" s="418">
        <f t="shared" si="6"/>
        <v>594.45000000000005</v>
      </c>
      <c r="Y17" s="202">
        <f t="shared" si="7"/>
        <v>540.29999999999995</v>
      </c>
      <c r="Z17" s="191"/>
      <c r="AA17" s="203">
        <f t="shared" si="8"/>
        <v>0</v>
      </c>
      <c r="AB17" s="198">
        <f t="shared" si="9"/>
        <v>0</v>
      </c>
      <c r="AC17" s="204">
        <f t="shared" si="10"/>
        <v>6.6666666666666661</v>
      </c>
    </row>
    <row r="18" spans="1:29" ht="14" x14ac:dyDescent="0.2">
      <c r="A18" s="103"/>
      <c r="B18" s="441">
        <v>12</v>
      </c>
      <c r="C18" s="223">
        <v>346</v>
      </c>
      <c r="D18" s="224" t="str">
        <f t="shared" si="11"/>
        <v>飛車角</v>
      </c>
      <c r="E18" s="442" t="e">
        <f t="shared" si="12"/>
        <v>#REF!</v>
      </c>
      <c r="F18" s="443"/>
      <c r="G18" s="444"/>
      <c r="H18" s="223" t="s">
        <v>74</v>
      </c>
      <c r="I18" s="445"/>
      <c r="J18" s="443"/>
      <c r="K18" s="446" t="s">
        <v>74</v>
      </c>
      <c r="L18" s="444" t="s">
        <v>74</v>
      </c>
      <c r="M18" s="258" t="s">
        <v>74</v>
      </c>
      <c r="N18" s="447" t="s">
        <v>74</v>
      </c>
      <c r="O18" s="448">
        <v>1</v>
      </c>
      <c r="P18" s="466" t="s">
        <v>308</v>
      </c>
      <c r="Q18" s="450"/>
      <c r="R18" s="183"/>
      <c r="S18" s="183"/>
      <c r="T18" s="199" t="e">
        <f t="shared" si="2"/>
        <v>#REF!</v>
      </c>
      <c r="U18" s="200" t="e">
        <f t="shared" si="3"/>
        <v>#REF!</v>
      </c>
      <c r="V18" s="201" t="e">
        <f t="shared" si="4"/>
        <v>#REF!</v>
      </c>
      <c r="W18" s="417">
        <f t="shared" si="5"/>
        <v>849.85</v>
      </c>
      <c r="X18" s="418">
        <f t="shared" si="6"/>
        <v>567.375</v>
      </c>
      <c r="Y18" s="202">
        <f t="shared" si="7"/>
        <v>519.29999999999995</v>
      </c>
      <c r="Z18" s="191"/>
      <c r="AA18" s="203">
        <f t="shared" si="8"/>
        <v>-2</v>
      </c>
      <c r="AB18" s="198">
        <f t="shared" si="9"/>
        <v>-3</v>
      </c>
      <c r="AC18" s="204">
        <f t="shared" si="10"/>
        <v>3.333333333333333</v>
      </c>
    </row>
    <row r="19" spans="1:29" ht="14" x14ac:dyDescent="0.2">
      <c r="A19" s="103"/>
      <c r="B19" s="441">
        <v>13</v>
      </c>
      <c r="C19" s="223">
        <v>131</v>
      </c>
      <c r="D19" s="224" t="str">
        <f t="shared" si="11"/>
        <v>ふるたか</v>
      </c>
      <c r="E19" s="442" t="e">
        <f t="shared" si="12"/>
        <v>#REF!</v>
      </c>
      <c r="F19" s="443"/>
      <c r="G19" s="444"/>
      <c r="H19" s="223" t="s">
        <v>74</v>
      </c>
      <c r="I19" s="445"/>
      <c r="J19" s="443"/>
      <c r="K19" s="446" t="s">
        <v>74</v>
      </c>
      <c r="L19" s="444" t="s">
        <v>74</v>
      </c>
      <c r="M19" s="258" t="s">
        <v>74</v>
      </c>
      <c r="N19" s="447" t="s">
        <v>74</v>
      </c>
      <c r="O19" s="448">
        <v>1</v>
      </c>
      <c r="P19" s="466" t="s">
        <v>302</v>
      </c>
      <c r="Q19" s="450"/>
      <c r="R19" s="183"/>
      <c r="S19" s="183"/>
      <c r="T19" s="199" t="e">
        <f t="shared" si="2"/>
        <v>#REF!</v>
      </c>
      <c r="U19" s="200" t="e">
        <f t="shared" si="3"/>
        <v>#REF!</v>
      </c>
      <c r="V19" s="201" t="e">
        <f t="shared" si="4"/>
        <v>#REF!</v>
      </c>
      <c r="W19" s="417">
        <f t="shared" si="5"/>
        <v>900.07179410207902</v>
      </c>
      <c r="X19" s="418">
        <f t="shared" si="6"/>
        <v>587.55212564843805</v>
      </c>
      <c r="Y19" s="202">
        <f t="shared" si="7"/>
        <v>533.64966543912703</v>
      </c>
      <c r="Z19" s="191"/>
      <c r="AA19" s="203">
        <f t="shared" si="8"/>
        <v>-4</v>
      </c>
      <c r="AB19" s="198">
        <f t="shared" si="9"/>
        <v>-6</v>
      </c>
      <c r="AC19" s="204">
        <f t="shared" si="10"/>
        <v>0</v>
      </c>
    </row>
    <row r="20" spans="1:29" ht="14" x14ac:dyDescent="0.2">
      <c r="A20" s="103"/>
      <c r="B20" s="441">
        <v>14</v>
      </c>
      <c r="C20" s="223"/>
      <c r="D20" s="224" t="str">
        <f t="shared" si="11"/>
        <v/>
      </c>
      <c r="E20" s="442" t="str">
        <f t="shared" si="12"/>
        <v/>
      </c>
      <c r="F20" s="443"/>
      <c r="G20" s="444"/>
      <c r="H20" s="223" t="str">
        <f t="shared" ref="H20:H23" si="13">IFERROR(IF(G20-$Q$2&lt;=0,"",(G20-$Q$2)*86400),"")</f>
        <v/>
      </c>
      <c r="I20" s="445" t="str">
        <f t="shared" ref="I20:I23" si="14">IF($I$6="Ⅰ",W20,IF($I$6="Ⅱ",X20,IF($I$6="Ⅲ",Y20,"")))</f>
        <v/>
      </c>
      <c r="J20" s="443"/>
      <c r="K20" s="446" t="str">
        <f t="shared" ref="K20:K23" si="15">IFERROR(H20*(1+0.01*J20)-I20*$N$3,"")</f>
        <v/>
      </c>
      <c r="L20" s="444" t="str">
        <f t="shared" ref="L20:L23" si="16">IFERROR((K20-$K$7)/86400,"")</f>
        <v/>
      </c>
      <c r="M20" s="258" t="str">
        <f t="shared" ref="M20:M23" si="17">IFERROR((K20-$K$7)/$N$3,"")</f>
        <v/>
      </c>
      <c r="N20" s="447" t="str">
        <f t="shared" ref="N20:N23" si="18">IFERROR($N$3/(H20/3600),"")</f>
        <v/>
      </c>
      <c r="O20" s="448"/>
      <c r="P20" s="469"/>
      <c r="Q20" s="450"/>
      <c r="R20" s="183"/>
      <c r="S20" s="183"/>
      <c r="T20" s="199" t="str">
        <f t="shared" si="2"/>
        <v/>
      </c>
      <c r="U20" s="200" t="str">
        <f t="shared" si="3"/>
        <v/>
      </c>
      <c r="V20" s="201" t="str">
        <f t="shared" si="4"/>
        <v/>
      </c>
      <c r="W20" s="417" t="str">
        <f t="shared" si="5"/>
        <v/>
      </c>
      <c r="X20" s="418" t="str">
        <f t="shared" si="6"/>
        <v/>
      </c>
      <c r="Y20" s="202" t="str">
        <f t="shared" si="7"/>
        <v/>
      </c>
      <c r="Z20" s="191"/>
      <c r="AA20" s="203">
        <f t="shared" si="8"/>
        <v>-6</v>
      </c>
      <c r="AB20" s="198">
        <f t="shared" si="9"/>
        <v>-9</v>
      </c>
      <c r="AC20" s="204">
        <f t="shared" si="10"/>
        <v>-3.3333333333333339</v>
      </c>
    </row>
    <row r="21" spans="1:29" ht="14" x14ac:dyDescent="0.2">
      <c r="A21" s="103"/>
      <c r="B21" s="452">
        <v>15</v>
      </c>
      <c r="C21" s="223"/>
      <c r="D21" s="226" t="str">
        <f t="shared" si="11"/>
        <v/>
      </c>
      <c r="E21" s="453" t="str">
        <f t="shared" si="12"/>
        <v/>
      </c>
      <c r="F21" s="454"/>
      <c r="G21" s="455"/>
      <c r="H21" s="456" t="str">
        <f t="shared" si="13"/>
        <v/>
      </c>
      <c r="I21" s="457" t="str">
        <f t="shared" si="14"/>
        <v/>
      </c>
      <c r="J21" s="458"/>
      <c r="K21" s="459" t="str">
        <f t="shared" si="15"/>
        <v/>
      </c>
      <c r="L21" s="460" t="str">
        <f t="shared" si="16"/>
        <v/>
      </c>
      <c r="M21" s="461" t="str">
        <f t="shared" si="17"/>
        <v/>
      </c>
      <c r="N21" s="462" t="str">
        <f t="shared" si="18"/>
        <v/>
      </c>
      <c r="O21" s="467"/>
      <c r="P21" s="468"/>
      <c r="Q21" s="465"/>
      <c r="R21" s="183"/>
      <c r="S21" s="183"/>
      <c r="T21" s="199" t="str">
        <f t="shared" si="2"/>
        <v/>
      </c>
      <c r="U21" s="200" t="str">
        <f t="shared" si="3"/>
        <v/>
      </c>
      <c r="V21" s="201" t="str">
        <f t="shared" si="4"/>
        <v/>
      </c>
      <c r="W21" s="417" t="str">
        <f t="shared" si="5"/>
        <v/>
      </c>
      <c r="X21" s="418" t="str">
        <f t="shared" si="6"/>
        <v/>
      </c>
      <c r="Y21" s="202" t="str">
        <f t="shared" si="7"/>
        <v/>
      </c>
      <c r="Z21" s="191"/>
      <c r="AA21" s="203">
        <f t="shared" si="8"/>
        <v>-8</v>
      </c>
      <c r="AB21" s="198">
        <f t="shared" si="9"/>
        <v>-12</v>
      </c>
      <c r="AC21" s="204">
        <f t="shared" si="10"/>
        <v>-6.6666666666666679</v>
      </c>
    </row>
    <row r="22" spans="1:29" ht="14" x14ac:dyDescent="0.2">
      <c r="A22" s="103"/>
      <c r="B22" s="470"/>
      <c r="C22" s="221"/>
      <c r="D22" s="229" t="str">
        <f t="shared" si="11"/>
        <v/>
      </c>
      <c r="E22" s="433" t="str">
        <f t="shared" si="12"/>
        <v/>
      </c>
      <c r="F22" s="471"/>
      <c r="G22" s="435"/>
      <c r="H22" s="221" t="str">
        <f t="shared" si="13"/>
        <v/>
      </c>
      <c r="I22" s="436" t="str">
        <f t="shared" si="14"/>
        <v/>
      </c>
      <c r="J22" s="434"/>
      <c r="K22" s="437" t="str">
        <f t="shared" si="15"/>
        <v/>
      </c>
      <c r="L22" s="435" t="str">
        <f t="shared" si="16"/>
        <v/>
      </c>
      <c r="M22" s="251" t="str">
        <f t="shared" si="17"/>
        <v/>
      </c>
      <c r="N22" s="438" t="str">
        <f t="shared" si="18"/>
        <v/>
      </c>
      <c r="O22" s="198"/>
      <c r="P22" s="472"/>
      <c r="Q22" s="473"/>
      <c r="R22" s="183"/>
      <c r="S22" s="183"/>
      <c r="T22" s="199" t="str">
        <f t="shared" si="2"/>
        <v/>
      </c>
      <c r="U22" s="200" t="str">
        <f t="shared" si="3"/>
        <v/>
      </c>
      <c r="V22" s="201" t="str">
        <f t="shared" si="4"/>
        <v/>
      </c>
      <c r="W22" s="417" t="str">
        <f t="shared" si="5"/>
        <v/>
      </c>
      <c r="X22" s="418" t="str">
        <f t="shared" si="6"/>
        <v/>
      </c>
      <c r="Y22" s="202" t="str">
        <f t="shared" si="7"/>
        <v/>
      </c>
      <c r="Z22" s="191"/>
      <c r="AA22" s="203" t="str">
        <f t="shared" si="8"/>
        <v/>
      </c>
      <c r="AB22" s="198" t="str">
        <f t="shared" si="9"/>
        <v/>
      </c>
      <c r="AC22" s="204" t="str">
        <f t="shared" si="10"/>
        <v/>
      </c>
    </row>
    <row r="23" spans="1:29" ht="14" x14ac:dyDescent="0.2">
      <c r="A23" s="103"/>
      <c r="B23" s="441"/>
      <c r="C23" s="223"/>
      <c r="D23" s="224" t="str">
        <f t="shared" si="11"/>
        <v/>
      </c>
      <c r="E23" s="442" t="str">
        <f t="shared" si="12"/>
        <v/>
      </c>
      <c r="F23" s="443"/>
      <c r="G23" s="444"/>
      <c r="H23" s="223" t="str">
        <f t="shared" si="13"/>
        <v/>
      </c>
      <c r="I23" s="445" t="str">
        <f t="shared" si="14"/>
        <v/>
      </c>
      <c r="J23" s="443"/>
      <c r="K23" s="446" t="str">
        <f t="shared" si="15"/>
        <v/>
      </c>
      <c r="L23" s="444" t="str">
        <f t="shared" si="16"/>
        <v/>
      </c>
      <c r="M23" s="258" t="str">
        <f t="shared" si="17"/>
        <v/>
      </c>
      <c r="N23" s="447" t="str">
        <f t="shared" si="18"/>
        <v/>
      </c>
      <c r="O23" s="448"/>
      <c r="P23" s="466"/>
      <c r="Q23" s="450"/>
      <c r="R23" s="183"/>
      <c r="S23" s="183"/>
      <c r="T23" s="199" t="str">
        <f t="shared" si="2"/>
        <v/>
      </c>
      <c r="U23" s="200" t="str">
        <f t="shared" si="3"/>
        <v/>
      </c>
      <c r="V23" s="201" t="str">
        <f t="shared" si="4"/>
        <v/>
      </c>
      <c r="W23" s="417" t="str">
        <f t="shared" si="5"/>
        <v/>
      </c>
      <c r="X23" s="418" t="str">
        <f t="shared" si="6"/>
        <v/>
      </c>
      <c r="Y23" s="202" t="str">
        <f t="shared" si="7"/>
        <v/>
      </c>
      <c r="Z23" s="191"/>
      <c r="AA23" s="203" t="str">
        <f t="shared" si="8"/>
        <v/>
      </c>
      <c r="AB23" s="198" t="str">
        <f t="shared" si="9"/>
        <v/>
      </c>
      <c r="AC23" s="204" t="str">
        <f t="shared" si="10"/>
        <v/>
      </c>
    </row>
    <row r="24" spans="1:29" ht="14" x14ac:dyDescent="0.2">
      <c r="A24" s="103"/>
      <c r="B24" s="470"/>
      <c r="C24" s="223"/>
      <c r="D24" s="224" t="str">
        <f t="shared" si="11"/>
        <v/>
      </c>
      <c r="E24" s="442"/>
      <c r="F24" s="443"/>
      <c r="G24" s="444"/>
      <c r="H24" s="223"/>
      <c r="I24" s="445"/>
      <c r="J24" s="443"/>
      <c r="K24" s="446"/>
      <c r="L24" s="444"/>
      <c r="M24" s="258"/>
      <c r="N24" s="447"/>
      <c r="O24" s="448"/>
      <c r="P24" s="474"/>
      <c r="Q24" s="450"/>
      <c r="R24" s="183"/>
      <c r="S24" s="183"/>
      <c r="T24" s="199" t="str">
        <f t="shared" si="2"/>
        <v/>
      </c>
      <c r="U24" s="200" t="str">
        <f t="shared" si="3"/>
        <v/>
      </c>
      <c r="V24" s="201" t="str">
        <f t="shared" si="4"/>
        <v/>
      </c>
      <c r="W24" s="417" t="str">
        <f t="shared" si="5"/>
        <v/>
      </c>
      <c r="X24" s="418" t="str">
        <f t="shared" si="6"/>
        <v/>
      </c>
      <c r="Y24" s="202" t="str">
        <f t="shared" si="7"/>
        <v/>
      </c>
      <c r="Z24" s="191"/>
      <c r="AA24" s="203" t="str">
        <f t="shared" si="8"/>
        <v/>
      </c>
      <c r="AB24" s="198" t="str">
        <f t="shared" si="9"/>
        <v/>
      </c>
      <c r="AC24" s="204" t="str">
        <f t="shared" si="10"/>
        <v/>
      </c>
    </row>
    <row r="25" spans="1:29" ht="14" x14ac:dyDescent="0.2">
      <c r="A25" s="103"/>
      <c r="B25" s="441"/>
      <c r="C25" s="223"/>
      <c r="D25" s="224" t="str">
        <f t="shared" si="11"/>
        <v/>
      </c>
      <c r="E25" s="442"/>
      <c r="F25" s="443"/>
      <c r="G25" s="444"/>
      <c r="H25" s="223"/>
      <c r="I25" s="445"/>
      <c r="J25" s="443"/>
      <c r="K25" s="446"/>
      <c r="L25" s="444"/>
      <c r="M25" s="258"/>
      <c r="N25" s="447"/>
      <c r="O25" s="448"/>
      <c r="P25" s="474"/>
      <c r="Q25" s="450"/>
      <c r="R25" s="183"/>
      <c r="S25" s="183"/>
      <c r="T25" s="199" t="str">
        <f t="shared" si="2"/>
        <v/>
      </c>
      <c r="U25" s="200" t="str">
        <f t="shared" si="3"/>
        <v/>
      </c>
      <c r="V25" s="201" t="str">
        <f t="shared" si="4"/>
        <v/>
      </c>
      <c r="W25" s="417" t="str">
        <f t="shared" si="5"/>
        <v/>
      </c>
      <c r="X25" s="418" t="str">
        <f t="shared" si="6"/>
        <v/>
      </c>
      <c r="Y25" s="202" t="str">
        <f t="shared" si="7"/>
        <v/>
      </c>
      <c r="Z25" s="191"/>
      <c r="AA25" s="203" t="str">
        <f t="shared" si="8"/>
        <v/>
      </c>
      <c r="AB25" s="198" t="str">
        <f t="shared" si="9"/>
        <v/>
      </c>
      <c r="AC25" s="204" t="str">
        <f t="shared" si="10"/>
        <v/>
      </c>
    </row>
    <row r="26" spans="1:29" ht="14" x14ac:dyDescent="0.2">
      <c r="A26" s="103"/>
      <c r="B26" s="452"/>
      <c r="C26" s="225"/>
      <c r="D26" s="226" t="str">
        <f t="shared" si="11"/>
        <v/>
      </c>
      <c r="E26" s="453"/>
      <c r="F26" s="454"/>
      <c r="G26" s="455"/>
      <c r="H26" s="456"/>
      <c r="I26" s="457"/>
      <c r="J26" s="458"/>
      <c r="K26" s="459"/>
      <c r="L26" s="460"/>
      <c r="M26" s="461"/>
      <c r="N26" s="462"/>
      <c r="O26" s="467"/>
      <c r="P26" s="475"/>
      <c r="Q26" s="465"/>
      <c r="R26" s="183"/>
      <c r="S26" s="183"/>
      <c r="T26" s="199" t="str">
        <f t="shared" si="2"/>
        <v/>
      </c>
      <c r="U26" s="200" t="str">
        <f t="shared" si="3"/>
        <v/>
      </c>
      <c r="V26" s="201" t="str">
        <f t="shared" si="4"/>
        <v/>
      </c>
      <c r="W26" s="417" t="str">
        <f t="shared" si="5"/>
        <v/>
      </c>
      <c r="X26" s="418" t="str">
        <f t="shared" si="6"/>
        <v/>
      </c>
      <c r="Y26" s="202" t="str">
        <f t="shared" si="7"/>
        <v/>
      </c>
      <c r="Z26" s="191"/>
      <c r="AA26" s="203" t="str">
        <f t="shared" si="8"/>
        <v/>
      </c>
      <c r="AB26" s="198" t="str">
        <f t="shared" si="9"/>
        <v/>
      </c>
      <c r="AC26" s="204" t="str">
        <f t="shared" si="10"/>
        <v/>
      </c>
    </row>
    <row r="27" spans="1:29" ht="14" x14ac:dyDescent="0.2">
      <c r="A27" s="103"/>
      <c r="B27" s="470"/>
      <c r="C27" s="227"/>
      <c r="D27" s="229" t="str">
        <f t="shared" si="11"/>
        <v/>
      </c>
      <c r="E27" s="471"/>
      <c r="F27" s="471"/>
      <c r="G27" s="476"/>
      <c r="H27" s="221" t="str">
        <f>IFERROR(IF(G27-$Q$2&lt;=0,"",(G27-$Q$2)*86400),"")</f>
        <v/>
      </c>
      <c r="I27" s="436"/>
      <c r="J27" s="434"/>
      <c r="K27" s="437" t="str">
        <f>IFERROR(H27*(1+0.01*J27)-I27*$N$3,"")</f>
        <v/>
      </c>
      <c r="L27" s="435" t="str">
        <f>IFERROR((K27-$K$7)/86400,"")</f>
        <v/>
      </c>
      <c r="M27" s="251" t="str">
        <f>IFERROR((K27-$K$7)/$N$3,"")</f>
        <v/>
      </c>
      <c r="N27" s="438" t="str">
        <f>IFERROR($N$3/(H27/3600),"")</f>
        <v/>
      </c>
      <c r="O27" s="198"/>
      <c r="P27" s="477"/>
      <c r="Q27" s="473"/>
      <c r="R27" s="183"/>
      <c r="S27" s="183"/>
      <c r="T27" s="199" t="str">
        <f t="shared" si="2"/>
        <v/>
      </c>
      <c r="U27" s="200" t="str">
        <f t="shared" si="3"/>
        <v/>
      </c>
      <c r="V27" s="201" t="str">
        <f t="shared" si="4"/>
        <v/>
      </c>
      <c r="W27" s="417" t="str">
        <f t="shared" si="5"/>
        <v/>
      </c>
      <c r="X27" s="418" t="str">
        <f t="shared" si="6"/>
        <v/>
      </c>
      <c r="Y27" s="202" t="str">
        <f t="shared" si="7"/>
        <v/>
      </c>
      <c r="Z27" s="191"/>
      <c r="AA27" s="203" t="str">
        <f t="shared" si="8"/>
        <v/>
      </c>
      <c r="AB27" s="198" t="str">
        <f t="shared" si="9"/>
        <v/>
      </c>
      <c r="AC27" s="204" t="str">
        <f t="shared" si="10"/>
        <v/>
      </c>
    </row>
    <row r="28" spans="1:29" ht="14.25" customHeight="1" x14ac:dyDescent="0.2">
      <c r="A28" s="103"/>
      <c r="B28" s="441"/>
      <c r="C28" s="223"/>
      <c r="D28" s="224" t="str">
        <f t="shared" si="11"/>
        <v/>
      </c>
      <c r="E28" s="443"/>
      <c r="F28" s="443"/>
      <c r="G28" s="444"/>
      <c r="H28" s="223"/>
      <c r="I28" s="445"/>
      <c r="J28" s="443"/>
      <c r="K28" s="446"/>
      <c r="L28" s="444"/>
      <c r="M28" s="258"/>
      <c r="N28" s="447"/>
      <c r="O28" s="448"/>
      <c r="P28" s="478"/>
      <c r="Q28" s="450"/>
      <c r="R28" s="183"/>
      <c r="S28" s="183"/>
      <c r="T28" s="199" t="str">
        <f t="shared" si="2"/>
        <v/>
      </c>
      <c r="U28" s="200" t="str">
        <f t="shared" si="3"/>
        <v/>
      </c>
      <c r="V28" s="201" t="str">
        <f t="shared" si="4"/>
        <v/>
      </c>
      <c r="W28" s="417" t="str">
        <f t="shared" si="5"/>
        <v/>
      </c>
      <c r="X28" s="418" t="str">
        <f t="shared" si="6"/>
        <v/>
      </c>
      <c r="Y28" s="202" t="str">
        <f t="shared" si="7"/>
        <v/>
      </c>
      <c r="Z28" s="191"/>
      <c r="AA28" s="203" t="str">
        <f t="shared" si="8"/>
        <v/>
      </c>
      <c r="AB28" s="198" t="str">
        <f t="shared" si="9"/>
        <v/>
      </c>
      <c r="AC28" s="204" t="str">
        <f t="shared" si="10"/>
        <v/>
      </c>
    </row>
    <row r="29" spans="1:29" ht="14" x14ac:dyDescent="0.2">
      <c r="A29" s="103"/>
      <c r="B29" s="441"/>
      <c r="C29" s="223"/>
      <c r="D29" s="224" t="str">
        <f t="shared" si="11"/>
        <v/>
      </c>
      <c r="E29" s="443"/>
      <c r="F29" s="443"/>
      <c r="G29" s="444"/>
      <c r="H29" s="223"/>
      <c r="I29" s="445"/>
      <c r="J29" s="443"/>
      <c r="K29" s="446"/>
      <c r="L29" s="444"/>
      <c r="M29" s="258"/>
      <c r="N29" s="447"/>
      <c r="O29" s="448"/>
      <c r="P29" s="474"/>
      <c r="Q29" s="450"/>
      <c r="R29" s="183"/>
      <c r="S29" s="183"/>
      <c r="T29" s="199" t="str">
        <f t="shared" si="2"/>
        <v/>
      </c>
      <c r="U29" s="200" t="str">
        <f t="shared" si="3"/>
        <v/>
      </c>
      <c r="V29" s="201" t="str">
        <f t="shared" si="4"/>
        <v/>
      </c>
      <c r="W29" s="417" t="str">
        <f t="shared" si="5"/>
        <v/>
      </c>
      <c r="X29" s="418" t="str">
        <f t="shared" si="6"/>
        <v/>
      </c>
      <c r="Y29" s="202" t="str">
        <f t="shared" si="7"/>
        <v/>
      </c>
      <c r="Z29" s="191"/>
      <c r="AA29" s="203" t="str">
        <f t="shared" si="8"/>
        <v/>
      </c>
      <c r="AB29" s="198" t="str">
        <f t="shared" si="9"/>
        <v/>
      </c>
      <c r="AC29" s="204" t="str">
        <f t="shared" si="10"/>
        <v/>
      </c>
    </row>
    <row r="30" spans="1:29" ht="14.25" customHeight="1" x14ac:dyDescent="0.2">
      <c r="A30" s="103"/>
      <c r="B30" s="441"/>
      <c r="C30" s="223"/>
      <c r="D30" s="224" t="str">
        <f t="shared" si="11"/>
        <v/>
      </c>
      <c r="E30" s="443"/>
      <c r="F30" s="443"/>
      <c r="G30" s="444"/>
      <c r="H30" s="223"/>
      <c r="I30" s="445"/>
      <c r="J30" s="443"/>
      <c r="K30" s="446"/>
      <c r="L30" s="444"/>
      <c r="M30" s="258"/>
      <c r="N30" s="447"/>
      <c r="O30" s="448"/>
      <c r="P30" s="474"/>
      <c r="Q30" s="450"/>
      <c r="R30" s="183"/>
      <c r="S30" s="183"/>
      <c r="T30" s="199" t="str">
        <f t="shared" si="2"/>
        <v/>
      </c>
      <c r="U30" s="200" t="str">
        <f t="shared" si="3"/>
        <v/>
      </c>
      <c r="V30" s="201" t="str">
        <f t="shared" si="4"/>
        <v/>
      </c>
      <c r="W30" s="417" t="str">
        <f t="shared" si="5"/>
        <v/>
      </c>
      <c r="X30" s="418" t="str">
        <f t="shared" si="6"/>
        <v/>
      </c>
      <c r="Y30" s="202" t="str">
        <f t="shared" si="7"/>
        <v/>
      </c>
      <c r="Z30" s="191"/>
      <c r="AA30" s="203" t="str">
        <f t="shared" si="8"/>
        <v/>
      </c>
      <c r="AB30" s="198" t="str">
        <f t="shared" si="9"/>
        <v/>
      </c>
      <c r="AC30" s="204" t="str">
        <f t="shared" si="10"/>
        <v/>
      </c>
    </row>
    <row r="31" spans="1:29" ht="14.5" thickBot="1" x14ac:dyDescent="0.25">
      <c r="A31" s="103"/>
      <c r="B31" s="441"/>
      <c r="C31" s="223"/>
      <c r="D31" s="226" t="str">
        <f t="shared" si="11"/>
        <v/>
      </c>
      <c r="E31" s="454"/>
      <c r="F31" s="443"/>
      <c r="G31" s="444"/>
      <c r="H31" s="225" t="str">
        <f>IFERROR(IF(G31-$Q$2&lt;=0,"",(G31-$Q$2)*86400),"")</f>
        <v/>
      </c>
      <c r="I31" s="479" t="str">
        <f>IF($I$6="Ⅰ",W31,IF($I$6="Ⅱ",X31,IF($I$6="Ⅲ",Y31,"")))</f>
        <v/>
      </c>
      <c r="J31" s="454"/>
      <c r="K31" s="480" t="str">
        <f>IFERROR(H31*(1+0.01*J31)-I31*$N$3,"")</f>
        <v/>
      </c>
      <c r="L31" s="455" t="str">
        <f>IFERROR((K31-$K$7)/86400,"")</f>
        <v/>
      </c>
      <c r="M31" s="270" t="str">
        <f>IFERROR((K31-$K$7)/$N$3,"")</f>
        <v/>
      </c>
      <c r="N31" s="481" t="str">
        <f>IFERROR($N$3/(H31/3600),"")</f>
        <v/>
      </c>
      <c r="O31" s="467" t="str">
        <f>IF($O$6="MAX=20",AA31,IF($O$6="MAX=30",AB31,IF($O$6="MAX=40",AC31,"")))</f>
        <v/>
      </c>
      <c r="P31" s="475"/>
      <c r="Q31" s="465"/>
      <c r="R31" s="183"/>
      <c r="S31" s="183"/>
      <c r="T31" s="205" t="str">
        <f t="shared" si="2"/>
        <v/>
      </c>
      <c r="U31" s="206" t="str">
        <f t="shared" si="3"/>
        <v/>
      </c>
      <c r="V31" s="207" t="str">
        <f t="shared" si="4"/>
        <v/>
      </c>
      <c r="W31" s="419" t="str">
        <f t="shared" si="5"/>
        <v/>
      </c>
      <c r="X31" s="420" t="str">
        <f t="shared" si="6"/>
        <v/>
      </c>
      <c r="Y31" s="421" t="str">
        <f t="shared" si="7"/>
        <v/>
      </c>
      <c r="Z31" s="191"/>
      <c r="AA31" s="211" t="str">
        <f t="shared" si="8"/>
        <v/>
      </c>
      <c r="AB31" s="212" t="str">
        <f t="shared" si="9"/>
        <v/>
      </c>
      <c r="AC31" s="213" t="str">
        <f t="shared" si="10"/>
        <v/>
      </c>
    </row>
    <row r="32" spans="1:29" ht="15" customHeight="1" x14ac:dyDescent="0.25">
      <c r="A32" s="103"/>
      <c r="B32" s="580" t="s">
        <v>206</v>
      </c>
      <c r="C32" s="581"/>
      <c r="D32" s="582"/>
      <c r="E32" s="180" t="s">
        <v>159</v>
      </c>
      <c r="F32" s="589" t="s">
        <v>298</v>
      </c>
      <c r="G32" s="590"/>
      <c r="H32" s="591" t="s">
        <v>309</v>
      </c>
      <c r="I32" s="592"/>
      <c r="J32" s="592"/>
      <c r="K32" s="592"/>
      <c r="L32" s="592"/>
      <c r="M32" s="592"/>
      <c r="N32" s="592"/>
      <c r="O32" s="592"/>
      <c r="P32" s="592"/>
      <c r="Q32" s="593"/>
      <c r="R32" s="325"/>
      <c r="S32" s="94"/>
      <c r="T32" s="186"/>
      <c r="U32" s="186"/>
      <c r="V32" s="186"/>
      <c r="Y32" s="186"/>
      <c r="Z32" s="186"/>
    </row>
    <row r="33" spans="1:26" ht="15" customHeight="1" x14ac:dyDescent="0.25">
      <c r="A33" s="103"/>
      <c r="B33" s="583"/>
      <c r="C33" s="584"/>
      <c r="D33" s="585"/>
      <c r="E33" s="181" t="s">
        <v>160</v>
      </c>
      <c r="F33" s="600" t="s">
        <v>299</v>
      </c>
      <c r="G33" s="601"/>
      <c r="H33" s="594"/>
      <c r="I33" s="595"/>
      <c r="J33" s="595"/>
      <c r="K33" s="595"/>
      <c r="L33" s="595"/>
      <c r="M33" s="595"/>
      <c r="N33" s="595"/>
      <c r="O33" s="595"/>
      <c r="P33" s="595"/>
      <c r="Q33" s="596"/>
      <c r="R33" s="325"/>
      <c r="S33" s="94"/>
      <c r="T33" s="186"/>
      <c r="U33" s="186"/>
      <c r="V33" s="186"/>
      <c r="Y33" s="186"/>
      <c r="Z33" s="186"/>
    </row>
    <row r="34" spans="1:26" ht="23.25" customHeight="1" x14ac:dyDescent="0.25">
      <c r="A34" s="103"/>
      <c r="B34" s="586"/>
      <c r="C34" s="587"/>
      <c r="D34" s="588"/>
      <c r="E34" s="181" t="s">
        <v>161</v>
      </c>
      <c r="F34" s="600"/>
      <c r="G34" s="601"/>
      <c r="H34" s="594"/>
      <c r="I34" s="595"/>
      <c r="J34" s="595"/>
      <c r="K34" s="595"/>
      <c r="L34" s="595"/>
      <c r="M34" s="595"/>
      <c r="N34" s="595"/>
      <c r="O34" s="595"/>
      <c r="P34" s="595"/>
      <c r="Q34" s="596"/>
      <c r="R34" s="325"/>
      <c r="S34" s="94"/>
      <c r="T34" s="186"/>
      <c r="U34" s="186"/>
      <c r="V34" s="186"/>
      <c r="Y34" s="186"/>
      <c r="Z34" s="186"/>
    </row>
    <row r="35" spans="1:26" ht="22.5" customHeight="1" x14ac:dyDescent="0.25">
      <c r="A35" s="103"/>
      <c r="B35" s="602" t="s">
        <v>204</v>
      </c>
      <c r="C35" s="603"/>
      <c r="D35" s="604"/>
      <c r="E35" s="574" t="s">
        <v>163</v>
      </c>
      <c r="F35" s="600" t="str">
        <f>参照ﾃﾞｰﾀ!AB10</f>
        <v>ふるたか</v>
      </c>
      <c r="G35" s="601"/>
      <c r="H35" s="594"/>
      <c r="I35" s="595"/>
      <c r="J35" s="595"/>
      <c r="K35" s="595"/>
      <c r="L35" s="595"/>
      <c r="M35" s="595"/>
      <c r="N35" s="595"/>
      <c r="O35" s="595"/>
      <c r="P35" s="595"/>
      <c r="Q35" s="596"/>
      <c r="R35" s="325"/>
      <c r="S35" s="94"/>
      <c r="T35" s="186"/>
      <c r="U35" s="186"/>
      <c r="V35" s="186"/>
      <c r="Y35" s="186"/>
      <c r="Z35" s="186"/>
    </row>
    <row r="36" spans="1:26" ht="15" customHeight="1" x14ac:dyDescent="0.25">
      <c r="A36" s="103"/>
      <c r="B36" s="605"/>
      <c r="C36" s="606"/>
      <c r="D36" s="607"/>
      <c r="E36" s="613"/>
      <c r="F36" s="600"/>
      <c r="G36" s="601"/>
      <c r="H36" s="594"/>
      <c r="I36" s="595"/>
      <c r="J36" s="595"/>
      <c r="K36" s="595"/>
      <c r="L36" s="595"/>
      <c r="M36" s="595"/>
      <c r="N36" s="595"/>
      <c r="O36" s="595"/>
      <c r="P36" s="595"/>
      <c r="Q36" s="596"/>
      <c r="R36" s="325"/>
      <c r="S36" s="94"/>
      <c r="T36" s="186"/>
      <c r="U36" s="186"/>
      <c r="V36" s="186"/>
      <c r="Y36" s="186"/>
      <c r="Z36" s="186"/>
    </row>
    <row r="37" spans="1:26" ht="15" customHeight="1" x14ac:dyDescent="0.25">
      <c r="A37" s="103"/>
      <c r="B37" s="605"/>
      <c r="C37" s="606"/>
      <c r="D37" s="607"/>
      <c r="E37" s="180" t="s">
        <v>162</v>
      </c>
      <c r="F37" s="614">
        <v>45858</v>
      </c>
      <c r="G37" s="590"/>
      <c r="H37" s="594"/>
      <c r="I37" s="595"/>
      <c r="J37" s="595"/>
      <c r="K37" s="595"/>
      <c r="L37" s="595"/>
      <c r="M37" s="595"/>
      <c r="N37" s="595"/>
      <c r="O37" s="595"/>
      <c r="P37" s="595"/>
      <c r="Q37" s="596"/>
      <c r="R37" s="325"/>
      <c r="S37" s="94"/>
      <c r="T37" s="186"/>
      <c r="U37" s="186"/>
      <c r="V37" s="186"/>
      <c r="Y37" s="186"/>
      <c r="Z37" s="186"/>
    </row>
    <row r="38" spans="1:26" ht="15" customHeight="1" x14ac:dyDescent="0.25">
      <c r="A38" s="103"/>
      <c r="B38" s="605"/>
      <c r="C38" s="606"/>
      <c r="D38" s="607"/>
      <c r="E38" s="181" t="s">
        <v>175</v>
      </c>
      <c r="F38" s="600" t="s">
        <v>296</v>
      </c>
      <c r="G38" s="601"/>
      <c r="H38" s="594"/>
      <c r="I38" s="595"/>
      <c r="J38" s="595"/>
      <c r="K38" s="595"/>
      <c r="L38" s="595"/>
      <c r="M38" s="595"/>
      <c r="N38" s="595"/>
      <c r="O38" s="595"/>
      <c r="P38" s="595"/>
      <c r="Q38" s="596"/>
      <c r="R38" s="325"/>
      <c r="S38" s="94"/>
      <c r="T38" s="186"/>
      <c r="U38" s="186"/>
      <c r="V38" s="186"/>
      <c r="Y38" s="186"/>
      <c r="Z38" s="186"/>
    </row>
    <row r="39" spans="1:26" ht="15" customHeight="1" x14ac:dyDescent="0.25">
      <c r="A39" s="103"/>
      <c r="B39" s="605"/>
      <c r="C39" s="606"/>
      <c r="D39" s="607"/>
      <c r="E39" s="574" t="s">
        <v>163</v>
      </c>
      <c r="F39" s="600" t="str">
        <f>参照ﾃﾞｰﾀ!AB11</f>
        <v>はやとり</v>
      </c>
      <c r="G39" s="601"/>
      <c r="H39" s="594"/>
      <c r="I39" s="595"/>
      <c r="J39" s="595"/>
      <c r="K39" s="595"/>
      <c r="L39" s="595"/>
      <c r="M39" s="595"/>
      <c r="N39" s="595"/>
      <c r="O39" s="595"/>
      <c r="P39" s="595"/>
      <c r="Q39" s="596"/>
      <c r="R39" s="325"/>
      <c r="S39" s="94"/>
      <c r="T39" s="186"/>
      <c r="U39" s="186"/>
      <c r="V39" s="186"/>
      <c r="Y39" s="186"/>
      <c r="Z39" s="186"/>
    </row>
    <row r="40" spans="1:26" ht="15" customHeight="1" x14ac:dyDescent="0.25">
      <c r="A40" s="103"/>
      <c r="B40" s="605"/>
      <c r="C40" s="606"/>
      <c r="D40" s="607"/>
      <c r="E40" s="574"/>
      <c r="F40" s="600"/>
      <c r="G40" s="601"/>
      <c r="H40" s="594"/>
      <c r="I40" s="595"/>
      <c r="J40" s="595"/>
      <c r="K40" s="595"/>
      <c r="L40" s="595"/>
      <c r="M40" s="595"/>
      <c r="N40" s="595"/>
      <c r="O40" s="595"/>
      <c r="P40" s="595"/>
      <c r="Q40" s="596"/>
      <c r="R40" s="325"/>
      <c r="S40" s="94"/>
      <c r="T40" s="186"/>
      <c r="U40" s="186"/>
      <c r="V40" s="186"/>
      <c r="Y40" s="186"/>
      <c r="Z40" s="186"/>
    </row>
    <row r="41" spans="1:26" ht="11.25" customHeight="1" thickBot="1" x14ac:dyDescent="0.3">
      <c r="A41" s="103"/>
      <c r="B41" s="608"/>
      <c r="C41" s="609"/>
      <c r="D41" s="610"/>
      <c r="E41" s="182"/>
      <c r="F41" s="611"/>
      <c r="G41" s="612"/>
      <c r="H41" s="597"/>
      <c r="I41" s="598"/>
      <c r="J41" s="598"/>
      <c r="K41" s="598"/>
      <c r="L41" s="598"/>
      <c r="M41" s="598"/>
      <c r="N41" s="598"/>
      <c r="O41" s="598"/>
      <c r="P41" s="598"/>
      <c r="Q41" s="599"/>
      <c r="R41" s="325"/>
      <c r="S41" s="94"/>
      <c r="T41" s="186"/>
      <c r="U41" s="186"/>
      <c r="V41" s="186"/>
      <c r="W41" s="186"/>
      <c r="X41" s="186"/>
      <c r="Y41" s="186"/>
      <c r="Z41" s="186"/>
    </row>
    <row r="42" spans="1:26" x14ac:dyDescent="0.2">
      <c r="A42" s="103"/>
      <c r="B42" s="103"/>
      <c r="C42" s="103"/>
      <c r="D42" s="103"/>
      <c r="E42" s="103"/>
      <c r="F42" s="103"/>
      <c r="G42" s="103"/>
      <c r="H42" s="103"/>
      <c r="I42" s="103"/>
      <c r="J42" s="103"/>
      <c r="K42" s="103"/>
      <c r="L42" s="103"/>
      <c r="M42" s="103"/>
      <c r="N42" s="103"/>
      <c r="O42" s="103"/>
      <c r="P42" s="103"/>
      <c r="Q42" s="103"/>
      <c r="R42" s="103"/>
      <c r="S42" s="103"/>
    </row>
  </sheetData>
  <sheetProtection algorithmName="SHA-512" hashValue="VrtbuLOJwfDSaVuPshW/QSrg30Iprq4KK/HkobqrTdy/QbyY+cQQjyHtqd65koYC3khk1z5S+RLTadp+zq/plw==" saltValue="hQXAU8/Cdu6l/V3UoJf06w==" spinCount="100000" sheet="1" objects="1" scenarios="1"/>
  <sortState xmlns:xlrd2="http://schemas.microsoft.com/office/spreadsheetml/2017/richdata2" ref="C7:K14">
    <sortCondition ref="K7:K14"/>
  </sortState>
  <mergeCells count="19">
    <mergeCell ref="F37:G37"/>
    <mergeCell ref="F38:G38"/>
    <mergeCell ref="F39:G39"/>
    <mergeCell ref="E39:E40"/>
    <mergeCell ref="D2:F2"/>
    <mergeCell ref="E3:I3"/>
    <mergeCell ref="J3:K3"/>
    <mergeCell ref="P5:Q5"/>
    <mergeCell ref="B32:D34"/>
    <mergeCell ref="F32:G32"/>
    <mergeCell ref="H32:Q41"/>
    <mergeCell ref="F33:G33"/>
    <mergeCell ref="F34:G34"/>
    <mergeCell ref="B35:D41"/>
    <mergeCell ref="F40:G40"/>
    <mergeCell ref="F41:G41"/>
    <mergeCell ref="E35:E36"/>
    <mergeCell ref="F35:G35"/>
    <mergeCell ref="F36:G36"/>
  </mergeCells>
  <phoneticPr fontId="40"/>
  <dataValidations count="8">
    <dataValidation type="list" allowBlank="1" showInputMessage="1" showErrorMessage="1" sqref="P2 F37:G37" xr:uid="{00000000-0002-0000-0000-000000000000}">
      <formula1>開催日</formula1>
    </dataValidation>
    <dataValidation type="list" allowBlank="1" showInputMessage="1" showErrorMessage="1" sqref="Q2:R2" xr:uid="{00000000-0002-0000-0000-000001000000}">
      <formula1>時刻</formula1>
    </dataValidation>
    <dataValidation type="list" allowBlank="1" showInputMessage="1" showErrorMessage="1" sqref="J3:K3" xr:uid="{00000000-0002-0000-0000-000002000000}">
      <formula1>暫定</formula1>
    </dataValidation>
    <dataValidation type="list" allowBlank="1" showInputMessage="1" showErrorMessage="1" sqref="G2" xr:uid="{00000000-0002-0000-0000-000003000000}">
      <formula1>月</formula1>
    </dataValidation>
    <dataValidation type="list" allowBlank="1" showInputMessage="1" showErrorMessage="1" sqref="N2 F38:G38" xr:uid="{00000000-0002-0000-0000-000004000000}">
      <formula1>コース</formula1>
    </dataValidation>
    <dataValidation type="list" showInputMessage="1" showErrorMessage="1" sqref="E3" xr:uid="{00000000-0002-0000-0000-000005000000}">
      <formula1>レース名</formula1>
    </dataValidation>
    <dataValidation type="list" allowBlank="1" showInputMessage="1" showErrorMessage="1" sqref="I6" xr:uid="{00000000-0002-0000-0000-000006000000}">
      <formula1>ＴＡ</formula1>
    </dataValidation>
    <dataValidation type="list" allowBlank="1" showInputMessage="1" showErrorMessage="1" sqref="D3" xr:uid="{00000000-0002-0000-0000-000007000000}">
      <formula1>レース番号</formula1>
    </dataValidation>
  </dataValidations>
  <pageMargins left="0.31496062992125984" right="0" top="0.35433070866141736" bottom="0.19685039370078741" header="0" footer="0"/>
  <pageSetup paperSize="9" scale="97"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BD60"/>
  <sheetViews>
    <sheetView topLeftCell="AC3" zoomScale="75" zoomScaleNormal="75" workbookViewId="0">
      <selection activeCell="AL35" sqref="AL35"/>
    </sheetView>
  </sheetViews>
  <sheetFormatPr defaultRowHeight="13" x14ac:dyDescent="0.2"/>
  <cols>
    <col min="1" max="1" width="1.90625" customWidth="1"/>
    <col min="2" max="2" width="4.26953125" customWidth="1"/>
    <col min="3" max="3" width="6.08984375" customWidth="1"/>
    <col min="4" max="4" width="11.90625" customWidth="1"/>
    <col min="5" max="5" width="8.7265625" customWidth="1"/>
    <col min="6" max="6" width="8.90625" customWidth="1"/>
    <col min="7" max="7" width="8.7265625" customWidth="1"/>
    <col min="8" max="8" width="2.36328125" customWidth="1"/>
    <col min="9" max="9" width="3.7265625" customWidth="1"/>
    <col min="10" max="10" width="4.26953125" customWidth="1"/>
    <col min="11" max="11" width="6.08984375" customWidth="1"/>
    <col min="12" max="12" width="11.90625" customWidth="1"/>
    <col min="13" max="13" width="8.7265625" customWidth="1"/>
    <col min="14" max="14" width="8.90625" customWidth="1"/>
    <col min="15" max="15" width="8.7265625" customWidth="1"/>
    <col min="16" max="16" width="2.36328125" customWidth="1"/>
    <col min="17" max="17" width="3.7265625" customWidth="1"/>
    <col min="18" max="18" width="4.26953125" customWidth="1"/>
    <col min="19" max="19" width="6.08984375" customWidth="1"/>
    <col min="20" max="20" width="11.90625" customWidth="1"/>
    <col min="21" max="21" width="8.7265625" customWidth="1"/>
    <col min="22" max="22" width="8.90625" customWidth="1"/>
    <col min="23" max="23" width="8.7265625" customWidth="1"/>
    <col min="24" max="24" width="2.36328125" customWidth="1"/>
    <col min="25" max="25" width="3.7265625" customWidth="1"/>
    <col min="26" max="26" width="4.26953125" customWidth="1"/>
    <col min="27" max="27" width="6.08984375" customWidth="1"/>
    <col min="28" max="28" width="11.90625" customWidth="1"/>
    <col min="29" max="29" width="8.7265625" customWidth="1"/>
    <col min="30" max="30" width="8.90625" customWidth="1"/>
    <col min="31" max="31" width="8.7265625" customWidth="1"/>
    <col min="32" max="32" width="2.36328125" customWidth="1"/>
    <col min="33" max="33" width="3.7265625" customWidth="1"/>
    <col min="34" max="34" width="4.26953125" customWidth="1"/>
    <col min="35" max="35" width="6.08984375" customWidth="1"/>
    <col min="36" max="36" width="11.90625" customWidth="1"/>
    <col min="37" max="37" width="8.7265625" customWidth="1"/>
    <col min="38" max="38" width="8.90625" customWidth="1"/>
    <col min="39" max="39" width="8.7265625" customWidth="1"/>
    <col min="40" max="40" width="2.36328125" customWidth="1"/>
    <col min="41" max="41" width="3.7265625" customWidth="1"/>
    <col min="42" max="42" width="4.26953125" customWidth="1"/>
    <col min="43" max="43" width="6.08984375" customWidth="1"/>
    <col min="44" max="44" width="11.90625" customWidth="1"/>
    <col min="45" max="45" width="8.7265625" customWidth="1"/>
    <col min="46" max="46" width="8.90625" customWidth="1"/>
    <col min="47" max="47" width="8.7265625" customWidth="1"/>
    <col min="48" max="48" width="2.36328125" customWidth="1"/>
    <col min="49" max="49" width="5.90625" customWidth="1"/>
    <col min="50" max="50" width="4.7265625" customWidth="1"/>
    <col min="51" max="51" width="6.08984375" customWidth="1"/>
    <col min="52" max="52" width="11.7265625" customWidth="1"/>
    <col min="56" max="56" width="3" customWidth="1"/>
  </cols>
  <sheetData>
    <row r="1" spans="2:56" ht="19" x14ac:dyDescent="0.3">
      <c r="C1" s="347" t="s">
        <v>288</v>
      </c>
      <c r="K1" s="347" t="s">
        <v>288</v>
      </c>
      <c r="S1" s="347" t="s">
        <v>288</v>
      </c>
      <c r="AA1" s="347" t="s">
        <v>288</v>
      </c>
      <c r="AI1" s="347" t="s">
        <v>288</v>
      </c>
      <c r="AQ1" s="347" t="s">
        <v>288</v>
      </c>
      <c r="AY1" s="347" t="s">
        <v>288</v>
      </c>
    </row>
    <row r="2" spans="2:56" ht="8.25" customHeight="1" x14ac:dyDescent="0.2"/>
    <row r="3" spans="2:56" ht="18" customHeight="1" thickBot="1" x14ac:dyDescent="0.35">
      <c r="B3" s="674" t="str">
        <f>参照ﾃﾞｰﾀ!F4</f>
        <v>2025年</v>
      </c>
      <c r="C3" s="674"/>
      <c r="D3" s="416" t="str">
        <f>参照ﾃﾞｰﾀ!H10</f>
        <v>7月</v>
      </c>
      <c r="E3" s="416"/>
      <c r="F3" s="347"/>
      <c r="G3" s="348" t="s">
        <v>261</v>
      </c>
      <c r="J3" s="674" t="str">
        <f>参照ﾃﾞｰﾀ!F4</f>
        <v>2025年</v>
      </c>
      <c r="K3" s="674"/>
      <c r="L3" s="416" t="str">
        <f>参照ﾃﾞｰﾀ!H11</f>
        <v>8月</v>
      </c>
      <c r="M3" s="416"/>
      <c r="N3" s="347"/>
      <c r="O3" s="348" t="s">
        <v>261</v>
      </c>
      <c r="R3" s="674" t="str">
        <f>参照ﾃﾞｰﾀ!F4</f>
        <v>2025年</v>
      </c>
      <c r="S3" s="674"/>
      <c r="T3" s="416" t="str">
        <f>参照ﾃﾞｰﾀ!H13</f>
        <v>9月</v>
      </c>
      <c r="U3" s="416"/>
      <c r="V3" s="347"/>
      <c r="W3" s="348" t="s">
        <v>261</v>
      </c>
      <c r="Z3" s="674" t="str">
        <f>参照ﾃﾞｰﾀ!F4</f>
        <v>2025年</v>
      </c>
      <c r="AA3" s="674"/>
      <c r="AB3" s="416" t="str">
        <f>参照ﾃﾞｰﾀ!H14</f>
        <v>10月</v>
      </c>
      <c r="AC3" s="416"/>
      <c r="AD3" s="347"/>
      <c r="AE3" s="348" t="s">
        <v>261</v>
      </c>
      <c r="AH3" s="674" t="str">
        <f>参照ﾃﾞｰﾀ!F4</f>
        <v>2025年</v>
      </c>
      <c r="AI3" s="674"/>
      <c r="AJ3" s="416" t="str">
        <f>参照ﾃﾞｰﾀ!H15</f>
        <v>11月</v>
      </c>
      <c r="AK3" s="416"/>
      <c r="AL3" s="347"/>
      <c r="AM3" s="348" t="s">
        <v>261</v>
      </c>
      <c r="AP3" s="674" t="str">
        <f>参照ﾃﾞｰﾀ!F4</f>
        <v>2025年</v>
      </c>
      <c r="AQ3" s="674"/>
      <c r="AR3" s="416" t="str">
        <f>参照ﾃﾞｰﾀ!H16</f>
        <v>12月</v>
      </c>
      <c r="AS3" s="416"/>
      <c r="AT3" s="530"/>
      <c r="AU3" s="531" t="s">
        <v>372</v>
      </c>
      <c r="AX3" s="674" t="str">
        <f>参照ﾃﾞｰﾀ!F4</f>
        <v>2025年</v>
      </c>
      <c r="AY3" s="674"/>
      <c r="AZ3" s="416" t="str">
        <f>参照ﾃﾞｰﾀ!H13</f>
        <v>9月</v>
      </c>
      <c r="BA3" s="416" t="s">
        <v>292</v>
      </c>
      <c r="BB3" s="347"/>
      <c r="BD3" s="348" t="s">
        <v>261</v>
      </c>
    </row>
    <row r="4" spans="2:56" ht="54.75" customHeight="1" x14ac:dyDescent="0.2">
      <c r="B4" s="396"/>
      <c r="C4" s="397"/>
      <c r="D4" s="398"/>
      <c r="E4" s="384" t="s">
        <v>228</v>
      </c>
      <c r="F4" s="385" t="s">
        <v>291</v>
      </c>
      <c r="G4" s="399" t="s">
        <v>233</v>
      </c>
      <c r="H4" s="675" t="s">
        <v>290</v>
      </c>
      <c r="J4" s="396"/>
      <c r="K4" s="397"/>
      <c r="L4" s="398"/>
      <c r="M4" s="384" t="s">
        <v>228</v>
      </c>
      <c r="N4" s="385" t="s">
        <v>291</v>
      </c>
      <c r="O4" s="399" t="s">
        <v>233</v>
      </c>
      <c r="P4" s="675" t="s">
        <v>290</v>
      </c>
      <c r="R4" s="396"/>
      <c r="S4" s="397"/>
      <c r="T4" s="398"/>
      <c r="U4" s="384" t="s">
        <v>228</v>
      </c>
      <c r="V4" s="385" t="s">
        <v>291</v>
      </c>
      <c r="W4" s="399" t="s">
        <v>233</v>
      </c>
      <c r="X4" s="675" t="s">
        <v>290</v>
      </c>
      <c r="Z4" s="396"/>
      <c r="AA4" s="397"/>
      <c r="AB4" s="398"/>
      <c r="AC4" s="384" t="s">
        <v>228</v>
      </c>
      <c r="AD4" s="385" t="s">
        <v>291</v>
      </c>
      <c r="AE4" s="399" t="s">
        <v>233</v>
      </c>
      <c r="AF4" s="675" t="s">
        <v>290</v>
      </c>
      <c r="AH4" s="396"/>
      <c r="AI4" s="397"/>
      <c r="AJ4" s="398"/>
      <c r="AK4" s="384" t="s">
        <v>228</v>
      </c>
      <c r="AL4" s="385" t="s">
        <v>291</v>
      </c>
      <c r="AM4" s="399" t="s">
        <v>233</v>
      </c>
      <c r="AN4" s="675" t="s">
        <v>290</v>
      </c>
      <c r="AP4" s="396"/>
      <c r="AQ4" s="397"/>
      <c r="AR4" s="398"/>
      <c r="AS4" s="384" t="s">
        <v>228</v>
      </c>
      <c r="AT4" s="385" t="s">
        <v>291</v>
      </c>
      <c r="AU4" s="399" t="s">
        <v>233</v>
      </c>
      <c r="AV4" s="675" t="s">
        <v>290</v>
      </c>
      <c r="AX4" s="396"/>
      <c r="AY4" s="397"/>
      <c r="AZ4" s="398"/>
      <c r="BA4" s="384" t="s">
        <v>228</v>
      </c>
      <c r="BB4" s="385" t="s">
        <v>291</v>
      </c>
      <c r="BC4" s="399" t="s">
        <v>233</v>
      </c>
      <c r="BD4" s="675" t="s">
        <v>290</v>
      </c>
    </row>
    <row r="5" spans="2:56" ht="16" thickBot="1" x14ac:dyDescent="0.3">
      <c r="B5" s="672" t="s">
        <v>289</v>
      </c>
      <c r="C5" s="673"/>
      <c r="D5" s="412" t="s">
        <v>188</v>
      </c>
      <c r="E5" s="413" t="s">
        <v>192</v>
      </c>
      <c r="F5" s="414" t="s">
        <v>192</v>
      </c>
      <c r="G5" s="415" t="s">
        <v>192</v>
      </c>
      <c r="H5" s="676"/>
      <c r="J5" s="672" t="s">
        <v>289</v>
      </c>
      <c r="K5" s="673"/>
      <c r="L5" s="412" t="s">
        <v>188</v>
      </c>
      <c r="M5" s="413" t="s">
        <v>192</v>
      </c>
      <c r="N5" s="414" t="s">
        <v>192</v>
      </c>
      <c r="O5" s="415" t="s">
        <v>192</v>
      </c>
      <c r="P5" s="676"/>
      <c r="R5" s="672" t="s">
        <v>289</v>
      </c>
      <c r="S5" s="673"/>
      <c r="T5" s="412" t="s">
        <v>188</v>
      </c>
      <c r="U5" s="413" t="s">
        <v>192</v>
      </c>
      <c r="V5" s="414" t="s">
        <v>192</v>
      </c>
      <c r="W5" s="415" t="s">
        <v>192</v>
      </c>
      <c r="X5" s="676"/>
      <c r="Z5" s="672" t="s">
        <v>289</v>
      </c>
      <c r="AA5" s="673"/>
      <c r="AB5" s="412" t="s">
        <v>188</v>
      </c>
      <c r="AC5" s="413" t="s">
        <v>192</v>
      </c>
      <c r="AD5" s="414" t="s">
        <v>192</v>
      </c>
      <c r="AE5" s="415" t="s">
        <v>192</v>
      </c>
      <c r="AF5" s="676"/>
      <c r="AH5" s="672" t="s">
        <v>289</v>
      </c>
      <c r="AI5" s="673"/>
      <c r="AJ5" s="412" t="s">
        <v>188</v>
      </c>
      <c r="AK5" s="413" t="s">
        <v>192</v>
      </c>
      <c r="AL5" s="414" t="s">
        <v>192</v>
      </c>
      <c r="AM5" s="415" t="s">
        <v>192</v>
      </c>
      <c r="AN5" s="676"/>
      <c r="AP5" s="677" t="s">
        <v>289</v>
      </c>
      <c r="AQ5" s="678"/>
      <c r="AR5" s="412" t="s">
        <v>188</v>
      </c>
      <c r="AS5" s="413" t="s">
        <v>192</v>
      </c>
      <c r="AT5" s="414" t="s">
        <v>192</v>
      </c>
      <c r="AU5" s="415" t="s">
        <v>192</v>
      </c>
      <c r="AV5" s="676"/>
      <c r="AX5" s="672" t="s">
        <v>289</v>
      </c>
      <c r="AY5" s="673"/>
      <c r="AZ5" s="412" t="s">
        <v>188</v>
      </c>
      <c r="BA5" s="413" t="s">
        <v>192</v>
      </c>
      <c r="BB5" s="414" t="s">
        <v>192</v>
      </c>
      <c r="BC5" s="415" t="s">
        <v>192</v>
      </c>
      <c r="BD5" s="676"/>
    </row>
    <row r="6" spans="2:56" ht="13.5" thickTop="1" x14ac:dyDescent="0.2">
      <c r="B6" s="409">
        <v>1</v>
      </c>
      <c r="C6" s="363">
        <v>6793</v>
      </c>
      <c r="D6" s="364" t="s">
        <v>236</v>
      </c>
      <c r="E6" s="361">
        <v>805.25</v>
      </c>
      <c r="F6" s="362">
        <v>533.375</v>
      </c>
      <c r="G6" s="410">
        <v>484.45</v>
      </c>
      <c r="H6" s="411"/>
      <c r="J6" s="409">
        <v>1</v>
      </c>
      <c r="K6" s="363">
        <v>6793</v>
      </c>
      <c r="L6" s="364" t="s">
        <v>236</v>
      </c>
      <c r="M6" s="361">
        <v>805.25</v>
      </c>
      <c r="N6" s="362">
        <v>533.375</v>
      </c>
      <c r="O6" s="410">
        <v>484.45</v>
      </c>
      <c r="P6" s="411"/>
      <c r="R6" s="409">
        <v>1</v>
      </c>
      <c r="S6" s="363">
        <v>6793</v>
      </c>
      <c r="T6" s="364" t="s">
        <v>236</v>
      </c>
      <c r="U6" s="361">
        <v>805.25</v>
      </c>
      <c r="V6" s="362">
        <v>533.375</v>
      </c>
      <c r="W6" s="410">
        <v>484.45</v>
      </c>
      <c r="X6" s="411"/>
      <c r="Z6" s="409">
        <v>1</v>
      </c>
      <c r="AA6" s="363">
        <v>6793</v>
      </c>
      <c r="AB6" s="364" t="s">
        <v>236</v>
      </c>
      <c r="AC6" s="361">
        <v>805.25</v>
      </c>
      <c r="AD6" s="362">
        <v>533.375</v>
      </c>
      <c r="AE6" s="410">
        <v>484.45</v>
      </c>
      <c r="AF6" s="411"/>
      <c r="AH6" s="409">
        <v>1</v>
      </c>
      <c r="AI6" s="363">
        <v>6793</v>
      </c>
      <c r="AJ6" s="364" t="s">
        <v>236</v>
      </c>
      <c r="AK6" s="361">
        <v>805.25</v>
      </c>
      <c r="AL6" s="362">
        <v>533.375</v>
      </c>
      <c r="AM6" s="410">
        <v>484.45</v>
      </c>
      <c r="AN6" s="411"/>
      <c r="AP6" s="528">
        <v>1</v>
      </c>
      <c r="AQ6" s="532">
        <v>6451</v>
      </c>
      <c r="AR6" s="533" t="s">
        <v>369</v>
      </c>
      <c r="AS6" s="534">
        <v>755.33500000000004</v>
      </c>
      <c r="AT6" s="535">
        <v>494.47</v>
      </c>
      <c r="AU6" s="536">
        <v>429.51150000000001</v>
      </c>
      <c r="AV6" s="537" t="s">
        <v>370</v>
      </c>
      <c r="AX6" s="409">
        <v>1</v>
      </c>
      <c r="AY6" s="363" t="s">
        <v>235</v>
      </c>
      <c r="AZ6" s="364" t="s">
        <v>236</v>
      </c>
      <c r="BA6" s="361">
        <v>805.25</v>
      </c>
      <c r="BB6" s="362">
        <v>533.375</v>
      </c>
      <c r="BC6" s="410">
        <v>484.45</v>
      </c>
      <c r="BD6" s="411"/>
    </row>
    <row r="7" spans="2:56" x14ac:dyDescent="0.2">
      <c r="B7" s="386">
        <v>2</v>
      </c>
      <c r="C7" s="357">
        <v>6471</v>
      </c>
      <c r="D7" s="387" t="s">
        <v>229</v>
      </c>
      <c r="E7" s="358">
        <v>770.01233295839199</v>
      </c>
      <c r="F7" s="359">
        <v>526.99255983330704</v>
      </c>
      <c r="G7" s="400">
        <v>450.19123085502798</v>
      </c>
      <c r="H7" s="406" t="s">
        <v>262</v>
      </c>
      <c r="J7" s="386">
        <v>2</v>
      </c>
      <c r="K7" s="357">
        <v>6471</v>
      </c>
      <c r="L7" s="387" t="s">
        <v>229</v>
      </c>
      <c r="M7" s="358">
        <v>770.01233295839199</v>
      </c>
      <c r="N7" s="359">
        <v>526.99255983330704</v>
      </c>
      <c r="O7" s="400">
        <v>450.19123085502798</v>
      </c>
      <c r="P7" s="406" t="s">
        <v>262</v>
      </c>
      <c r="R7" s="386">
        <v>2</v>
      </c>
      <c r="S7" s="357">
        <v>6471</v>
      </c>
      <c r="T7" s="387" t="s">
        <v>229</v>
      </c>
      <c r="U7" s="358">
        <v>770.01233295839199</v>
      </c>
      <c r="V7" s="359">
        <v>526.99255983330704</v>
      </c>
      <c r="W7" s="400">
        <v>450.19123085502798</v>
      </c>
      <c r="X7" s="406" t="s">
        <v>262</v>
      </c>
      <c r="Z7" s="386">
        <v>2</v>
      </c>
      <c r="AA7" s="357">
        <v>6471</v>
      </c>
      <c r="AB7" s="387" t="s">
        <v>229</v>
      </c>
      <c r="AC7" s="358">
        <v>770.01233295839199</v>
      </c>
      <c r="AD7" s="359">
        <v>526.99255983330704</v>
      </c>
      <c r="AE7" s="400">
        <v>450.19123085502798</v>
      </c>
      <c r="AF7" s="406" t="s">
        <v>262</v>
      </c>
      <c r="AH7" s="386">
        <v>2</v>
      </c>
      <c r="AI7" s="357">
        <v>6471</v>
      </c>
      <c r="AJ7" s="387" t="s">
        <v>229</v>
      </c>
      <c r="AK7" s="358">
        <v>770.01233295839199</v>
      </c>
      <c r="AL7" s="359">
        <v>526.99255983330704</v>
      </c>
      <c r="AM7" s="400">
        <v>450.19123085502798</v>
      </c>
      <c r="AN7" s="406" t="s">
        <v>262</v>
      </c>
      <c r="AP7" s="386">
        <v>2</v>
      </c>
      <c r="AQ7" s="538">
        <v>6471</v>
      </c>
      <c r="AR7" s="539" t="s">
        <v>229</v>
      </c>
      <c r="AS7" s="540">
        <v>770.01233295839199</v>
      </c>
      <c r="AT7" s="541">
        <v>526.99255983330704</v>
      </c>
      <c r="AU7" s="542">
        <v>450.19123085502798</v>
      </c>
      <c r="AV7" s="543" t="s">
        <v>370</v>
      </c>
      <c r="AX7" s="386">
        <v>2</v>
      </c>
      <c r="AY7" s="357">
        <v>6471</v>
      </c>
      <c r="AZ7" s="387" t="s">
        <v>229</v>
      </c>
      <c r="BA7" s="358">
        <v>770.01233295839199</v>
      </c>
      <c r="BB7" s="359">
        <v>526.99255983330704</v>
      </c>
      <c r="BC7" s="400">
        <v>450.19123085502798</v>
      </c>
      <c r="BD7" s="406" t="s">
        <v>262</v>
      </c>
    </row>
    <row r="8" spans="2:56" x14ac:dyDescent="0.2">
      <c r="B8" s="386">
        <v>3</v>
      </c>
      <c r="C8" s="360">
        <v>4010</v>
      </c>
      <c r="D8" s="388" t="s">
        <v>132</v>
      </c>
      <c r="E8" s="361">
        <v>823.5</v>
      </c>
      <c r="F8" s="362">
        <v>546.45000000000005</v>
      </c>
      <c r="G8" s="401">
        <v>492.45</v>
      </c>
      <c r="H8" s="406"/>
      <c r="J8" s="386">
        <v>3</v>
      </c>
      <c r="K8" s="360">
        <v>4010</v>
      </c>
      <c r="L8" s="388" t="s">
        <v>132</v>
      </c>
      <c r="M8" s="361">
        <v>823.5</v>
      </c>
      <c r="N8" s="362">
        <v>546.45000000000005</v>
      </c>
      <c r="O8" s="401">
        <v>492.45</v>
      </c>
      <c r="P8" s="406"/>
      <c r="R8" s="386">
        <v>3</v>
      </c>
      <c r="S8" s="360">
        <v>4010</v>
      </c>
      <c r="T8" s="388" t="s">
        <v>132</v>
      </c>
      <c r="U8" s="361">
        <v>823.5</v>
      </c>
      <c r="V8" s="362">
        <v>546.45000000000005</v>
      </c>
      <c r="W8" s="401">
        <v>492.45</v>
      </c>
      <c r="X8" s="406"/>
      <c r="Z8" s="386">
        <v>3</v>
      </c>
      <c r="AA8" s="360">
        <v>4010</v>
      </c>
      <c r="AB8" s="388" t="s">
        <v>132</v>
      </c>
      <c r="AC8" s="361">
        <v>823.5</v>
      </c>
      <c r="AD8" s="362">
        <v>546.45000000000005</v>
      </c>
      <c r="AE8" s="401">
        <v>492.45</v>
      </c>
      <c r="AF8" s="406"/>
      <c r="AH8" s="386">
        <v>3</v>
      </c>
      <c r="AI8" s="360">
        <v>4010</v>
      </c>
      <c r="AJ8" s="388" t="s">
        <v>132</v>
      </c>
      <c r="AK8" s="361">
        <v>823.5</v>
      </c>
      <c r="AL8" s="362">
        <v>546.45000000000005</v>
      </c>
      <c r="AM8" s="401">
        <v>492.45</v>
      </c>
      <c r="AN8" s="406"/>
      <c r="AP8" s="386">
        <v>3</v>
      </c>
      <c r="AQ8" s="544" t="s">
        <v>235</v>
      </c>
      <c r="AR8" s="545" t="s">
        <v>236</v>
      </c>
      <c r="AS8" s="540">
        <v>805.25</v>
      </c>
      <c r="AT8" s="541">
        <v>533.375</v>
      </c>
      <c r="AU8" s="542">
        <v>484.45</v>
      </c>
      <c r="AV8" s="546"/>
      <c r="AX8" s="386">
        <v>3</v>
      </c>
      <c r="AY8" s="360">
        <v>4010</v>
      </c>
      <c r="AZ8" s="388" t="s">
        <v>132</v>
      </c>
      <c r="BA8" s="361">
        <v>823.5</v>
      </c>
      <c r="BB8" s="362">
        <v>546.45000000000005</v>
      </c>
      <c r="BC8" s="401">
        <v>492.45</v>
      </c>
      <c r="BD8" s="406"/>
    </row>
    <row r="9" spans="2:56" x14ac:dyDescent="0.2">
      <c r="B9" s="386">
        <v>4</v>
      </c>
      <c r="C9" s="357">
        <v>6269</v>
      </c>
      <c r="D9" s="387" t="s">
        <v>230</v>
      </c>
      <c r="E9" s="358">
        <v>798.60199999999998</v>
      </c>
      <c r="F9" s="359">
        <v>542.56262500000003</v>
      </c>
      <c r="G9" s="400">
        <v>492.52499999999998</v>
      </c>
      <c r="H9" s="406" t="s">
        <v>262</v>
      </c>
      <c r="J9" s="386">
        <v>4</v>
      </c>
      <c r="K9" s="357">
        <v>6269</v>
      </c>
      <c r="L9" s="387" t="s">
        <v>230</v>
      </c>
      <c r="M9" s="358">
        <v>798.60199999999998</v>
      </c>
      <c r="N9" s="359">
        <v>542.56262500000003</v>
      </c>
      <c r="O9" s="400">
        <v>492.52499999999998</v>
      </c>
      <c r="P9" s="406" t="s">
        <v>262</v>
      </c>
      <c r="R9" s="386">
        <v>4</v>
      </c>
      <c r="S9" s="357">
        <v>6269</v>
      </c>
      <c r="T9" s="387" t="s">
        <v>230</v>
      </c>
      <c r="U9" s="358">
        <v>798.60199999999998</v>
      </c>
      <c r="V9" s="359">
        <v>542.56262500000003</v>
      </c>
      <c r="W9" s="400">
        <v>492.52499999999998</v>
      </c>
      <c r="X9" s="406" t="s">
        <v>262</v>
      </c>
      <c r="Z9" s="386">
        <v>4</v>
      </c>
      <c r="AA9" s="357">
        <v>6269</v>
      </c>
      <c r="AB9" s="387" t="s">
        <v>230</v>
      </c>
      <c r="AC9" s="358">
        <v>798.60199999999998</v>
      </c>
      <c r="AD9" s="359">
        <v>542.56262500000003</v>
      </c>
      <c r="AE9" s="400">
        <v>492.52499999999998</v>
      </c>
      <c r="AF9" s="406" t="s">
        <v>262</v>
      </c>
      <c r="AH9" s="386">
        <v>4</v>
      </c>
      <c r="AI9" s="357">
        <v>6269</v>
      </c>
      <c r="AJ9" s="387" t="s">
        <v>230</v>
      </c>
      <c r="AK9" s="358">
        <v>798.60199999999998</v>
      </c>
      <c r="AL9" s="359">
        <v>542.56262500000003</v>
      </c>
      <c r="AM9" s="400">
        <v>492.52499999999998</v>
      </c>
      <c r="AN9" s="406" t="s">
        <v>262</v>
      </c>
      <c r="AP9" s="386">
        <v>4</v>
      </c>
      <c r="AQ9" s="544">
        <v>6269</v>
      </c>
      <c r="AR9" s="545" t="s">
        <v>230</v>
      </c>
      <c r="AS9" s="547">
        <v>798.60199999999998</v>
      </c>
      <c r="AT9" s="548">
        <v>542.56262500000003</v>
      </c>
      <c r="AU9" s="549">
        <v>492.52499999999998</v>
      </c>
      <c r="AV9" s="543" t="s">
        <v>370</v>
      </c>
      <c r="AX9" s="386">
        <v>4</v>
      </c>
      <c r="AY9" s="357">
        <v>6269</v>
      </c>
      <c r="AZ9" s="387" t="s">
        <v>230</v>
      </c>
      <c r="BA9" s="358">
        <v>798.60199999999998</v>
      </c>
      <c r="BB9" s="359">
        <v>542.56262500000003</v>
      </c>
      <c r="BC9" s="400">
        <v>492.52499999999998</v>
      </c>
      <c r="BD9" s="406" t="s">
        <v>262</v>
      </c>
    </row>
    <row r="10" spans="2:56" x14ac:dyDescent="0.2">
      <c r="B10" s="386">
        <v>5</v>
      </c>
      <c r="C10" s="357">
        <v>3663</v>
      </c>
      <c r="D10" s="387" t="s">
        <v>189</v>
      </c>
      <c r="E10" s="358">
        <v>797.13199999999995</v>
      </c>
      <c r="F10" s="359">
        <v>544.18787499999996</v>
      </c>
      <c r="G10" s="400">
        <v>494.35649999999998</v>
      </c>
      <c r="H10" s="406" t="s">
        <v>262</v>
      </c>
      <c r="J10" s="386">
        <v>5</v>
      </c>
      <c r="K10" s="357">
        <v>3663</v>
      </c>
      <c r="L10" s="387" t="s">
        <v>189</v>
      </c>
      <c r="M10" s="358">
        <v>797.13199999999995</v>
      </c>
      <c r="N10" s="359">
        <v>544.18787499999996</v>
      </c>
      <c r="O10" s="400">
        <v>494.35649999999998</v>
      </c>
      <c r="P10" s="406" t="s">
        <v>262</v>
      </c>
      <c r="R10" s="386">
        <v>5</v>
      </c>
      <c r="S10" s="357">
        <v>3663</v>
      </c>
      <c r="T10" s="387" t="s">
        <v>189</v>
      </c>
      <c r="U10" s="358">
        <v>797.13199999999995</v>
      </c>
      <c r="V10" s="359">
        <v>544.18787499999996</v>
      </c>
      <c r="W10" s="400">
        <v>494.35649999999998</v>
      </c>
      <c r="X10" s="406" t="s">
        <v>262</v>
      </c>
      <c r="Z10" s="386">
        <v>5</v>
      </c>
      <c r="AA10" s="357">
        <v>3663</v>
      </c>
      <c r="AB10" s="387" t="s">
        <v>189</v>
      </c>
      <c r="AC10" s="358">
        <v>797.13199999999995</v>
      </c>
      <c r="AD10" s="359">
        <v>544.18787499999996</v>
      </c>
      <c r="AE10" s="400">
        <v>494.35649999999998</v>
      </c>
      <c r="AF10" s="406" t="s">
        <v>262</v>
      </c>
      <c r="AH10" s="386">
        <v>5</v>
      </c>
      <c r="AI10" s="357">
        <v>3663</v>
      </c>
      <c r="AJ10" s="387" t="s">
        <v>189</v>
      </c>
      <c r="AK10" s="358">
        <v>797.13199999999995</v>
      </c>
      <c r="AL10" s="359">
        <v>544.18787499999996</v>
      </c>
      <c r="AM10" s="400">
        <v>494.35649999999998</v>
      </c>
      <c r="AN10" s="406" t="s">
        <v>262</v>
      </c>
      <c r="AP10" s="386">
        <v>5</v>
      </c>
      <c r="AQ10" s="544">
        <v>3663</v>
      </c>
      <c r="AR10" s="545" t="s">
        <v>189</v>
      </c>
      <c r="AS10" s="547">
        <v>797.13199999999995</v>
      </c>
      <c r="AT10" s="548">
        <v>544.18787499999996</v>
      </c>
      <c r="AU10" s="549">
        <v>494.35649999999998</v>
      </c>
      <c r="AV10" s="543" t="s">
        <v>370</v>
      </c>
      <c r="AX10" s="386">
        <v>5</v>
      </c>
      <c r="AY10" s="357">
        <v>3663</v>
      </c>
      <c r="AZ10" s="387" t="s">
        <v>189</v>
      </c>
      <c r="BA10" s="358">
        <v>797.13199999999995</v>
      </c>
      <c r="BB10" s="359">
        <v>544.18787499999996</v>
      </c>
      <c r="BC10" s="400">
        <v>494.35649999999998</v>
      </c>
      <c r="BD10" s="406" t="s">
        <v>262</v>
      </c>
    </row>
    <row r="11" spans="2:56" x14ac:dyDescent="0.2">
      <c r="B11" s="386">
        <v>6</v>
      </c>
      <c r="C11" s="357">
        <v>380</v>
      </c>
      <c r="D11" s="387" t="s">
        <v>133</v>
      </c>
      <c r="E11" s="358">
        <v>837</v>
      </c>
      <c r="F11" s="359">
        <v>557.82500000000005</v>
      </c>
      <c r="G11" s="400">
        <v>507</v>
      </c>
      <c r="H11" s="407"/>
      <c r="J11" s="386">
        <v>6</v>
      </c>
      <c r="K11" s="357">
        <v>380</v>
      </c>
      <c r="L11" s="387" t="s">
        <v>133</v>
      </c>
      <c r="M11" s="358">
        <v>837</v>
      </c>
      <c r="N11" s="359">
        <v>557.82500000000005</v>
      </c>
      <c r="O11" s="400">
        <v>507</v>
      </c>
      <c r="P11" s="407"/>
      <c r="R11" s="386">
        <v>6</v>
      </c>
      <c r="S11" s="357">
        <v>380</v>
      </c>
      <c r="T11" s="387" t="s">
        <v>133</v>
      </c>
      <c r="U11" s="358">
        <v>837</v>
      </c>
      <c r="V11" s="359">
        <v>557.82500000000005</v>
      </c>
      <c r="W11" s="400">
        <v>507</v>
      </c>
      <c r="X11" s="407"/>
      <c r="Z11" s="386">
        <v>6</v>
      </c>
      <c r="AA11" s="357">
        <v>380</v>
      </c>
      <c r="AB11" s="387" t="s">
        <v>133</v>
      </c>
      <c r="AC11" s="358">
        <v>837</v>
      </c>
      <c r="AD11" s="359">
        <v>557.82500000000005</v>
      </c>
      <c r="AE11" s="400">
        <v>507</v>
      </c>
      <c r="AF11" s="407"/>
      <c r="AH11" s="386">
        <v>6</v>
      </c>
      <c r="AI11" s="357">
        <v>380</v>
      </c>
      <c r="AJ11" s="387" t="s">
        <v>133</v>
      </c>
      <c r="AK11" s="358">
        <v>837</v>
      </c>
      <c r="AL11" s="359">
        <v>557.82500000000005</v>
      </c>
      <c r="AM11" s="400">
        <v>507</v>
      </c>
      <c r="AN11" s="407"/>
      <c r="AP11" s="386">
        <v>6</v>
      </c>
      <c r="AQ11" s="544">
        <v>4010</v>
      </c>
      <c r="AR11" s="545" t="s">
        <v>132</v>
      </c>
      <c r="AS11" s="540">
        <v>823.5</v>
      </c>
      <c r="AT11" s="541">
        <v>546.45000000000005</v>
      </c>
      <c r="AU11" s="542">
        <v>492.45</v>
      </c>
      <c r="AV11" s="546"/>
      <c r="AX11" s="386">
        <v>6</v>
      </c>
      <c r="AY11" s="357">
        <v>380</v>
      </c>
      <c r="AZ11" s="387" t="s">
        <v>133</v>
      </c>
      <c r="BA11" s="358">
        <v>837</v>
      </c>
      <c r="BB11" s="359">
        <v>557.82500000000005</v>
      </c>
      <c r="BC11" s="400">
        <v>507</v>
      </c>
      <c r="BD11" s="407"/>
    </row>
    <row r="12" spans="2:56" x14ac:dyDescent="0.2">
      <c r="B12" s="386">
        <v>7</v>
      </c>
      <c r="C12" s="357">
        <v>1733</v>
      </c>
      <c r="D12" s="387" t="s">
        <v>129</v>
      </c>
      <c r="E12" s="358">
        <v>852.05</v>
      </c>
      <c r="F12" s="359">
        <v>559.9</v>
      </c>
      <c r="G12" s="400">
        <v>501.85</v>
      </c>
      <c r="H12" s="407"/>
      <c r="J12" s="386">
        <v>7</v>
      </c>
      <c r="K12" s="357">
        <v>1733</v>
      </c>
      <c r="L12" s="387" t="s">
        <v>129</v>
      </c>
      <c r="M12" s="358">
        <v>852.05</v>
      </c>
      <c r="N12" s="359">
        <v>559.9</v>
      </c>
      <c r="O12" s="400">
        <v>501.85</v>
      </c>
      <c r="P12" s="407"/>
      <c r="R12" s="386">
        <v>7</v>
      </c>
      <c r="S12" s="357">
        <v>1733</v>
      </c>
      <c r="T12" s="387" t="s">
        <v>129</v>
      </c>
      <c r="U12" s="358">
        <v>852.05</v>
      </c>
      <c r="V12" s="359">
        <v>559.9</v>
      </c>
      <c r="W12" s="400">
        <v>501.85</v>
      </c>
      <c r="X12" s="407"/>
      <c r="Z12" s="386">
        <v>7</v>
      </c>
      <c r="AA12" s="357">
        <v>1733</v>
      </c>
      <c r="AB12" s="387" t="s">
        <v>129</v>
      </c>
      <c r="AC12" s="358">
        <v>852.05</v>
      </c>
      <c r="AD12" s="359">
        <v>559.9</v>
      </c>
      <c r="AE12" s="400">
        <v>501.85</v>
      </c>
      <c r="AF12" s="407"/>
      <c r="AH12" s="386">
        <v>7</v>
      </c>
      <c r="AI12" s="357">
        <v>1733</v>
      </c>
      <c r="AJ12" s="387" t="s">
        <v>129</v>
      </c>
      <c r="AK12" s="358">
        <v>852.05</v>
      </c>
      <c r="AL12" s="359">
        <v>559.9</v>
      </c>
      <c r="AM12" s="400">
        <v>501.85</v>
      </c>
      <c r="AN12" s="407"/>
      <c r="AP12" s="386">
        <v>7</v>
      </c>
      <c r="AQ12" s="544">
        <v>5797</v>
      </c>
      <c r="AR12" s="545" t="s">
        <v>238</v>
      </c>
      <c r="AS12" s="547">
        <v>817.07500000000005</v>
      </c>
      <c r="AT12" s="548">
        <v>554.01324999999997</v>
      </c>
      <c r="AU12" s="549">
        <v>499.40550000000002</v>
      </c>
      <c r="AV12" s="543" t="s">
        <v>370</v>
      </c>
      <c r="AX12" s="386">
        <v>7</v>
      </c>
      <c r="AY12" s="357">
        <v>1733</v>
      </c>
      <c r="AZ12" s="387" t="s">
        <v>129</v>
      </c>
      <c r="BA12" s="358">
        <v>852.05</v>
      </c>
      <c r="BB12" s="359">
        <v>559.9</v>
      </c>
      <c r="BC12" s="400">
        <v>501.85</v>
      </c>
      <c r="BD12" s="407"/>
    </row>
    <row r="13" spans="2:56" x14ac:dyDescent="0.2">
      <c r="B13" s="386">
        <v>8</v>
      </c>
      <c r="C13" s="357">
        <v>5797</v>
      </c>
      <c r="D13" s="387" t="s">
        <v>238</v>
      </c>
      <c r="E13" s="358">
        <v>817.07500000000005</v>
      </c>
      <c r="F13" s="359">
        <v>554.01324999999997</v>
      </c>
      <c r="G13" s="400">
        <v>499.40550000000002</v>
      </c>
      <c r="H13" s="406" t="s">
        <v>262</v>
      </c>
      <c r="J13" s="386">
        <v>8</v>
      </c>
      <c r="K13" s="357">
        <v>5797</v>
      </c>
      <c r="L13" s="387" t="s">
        <v>238</v>
      </c>
      <c r="M13" s="358">
        <v>817.07500000000005</v>
      </c>
      <c r="N13" s="359">
        <v>554.01324999999997</v>
      </c>
      <c r="O13" s="400">
        <v>499.40550000000002</v>
      </c>
      <c r="P13" s="406" t="s">
        <v>262</v>
      </c>
      <c r="R13" s="386">
        <v>8</v>
      </c>
      <c r="S13" s="357">
        <v>5797</v>
      </c>
      <c r="T13" s="387" t="s">
        <v>238</v>
      </c>
      <c r="U13" s="358">
        <v>817.07500000000005</v>
      </c>
      <c r="V13" s="359">
        <v>554.01324999999997</v>
      </c>
      <c r="W13" s="400">
        <v>499.40550000000002</v>
      </c>
      <c r="X13" s="406" t="s">
        <v>262</v>
      </c>
      <c r="Z13" s="386">
        <v>8</v>
      </c>
      <c r="AA13" s="357">
        <v>5797</v>
      </c>
      <c r="AB13" s="387" t="s">
        <v>238</v>
      </c>
      <c r="AC13" s="358">
        <v>817.07500000000005</v>
      </c>
      <c r="AD13" s="359">
        <v>554.01324999999997</v>
      </c>
      <c r="AE13" s="400">
        <v>499.40550000000002</v>
      </c>
      <c r="AF13" s="406" t="s">
        <v>262</v>
      </c>
      <c r="AH13" s="386">
        <v>8</v>
      </c>
      <c r="AI13" s="357">
        <v>5797</v>
      </c>
      <c r="AJ13" s="387" t="s">
        <v>238</v>
      </c>
      <c r="AK13" s="358">
        <v>817.07500000000005</v>
      </c>
      <c r="AL13" s="359">
        <v>554.01324999999997</v>
      </c>
      <c r="AM13" s="400">
        <v>499.40550000000002</v>
      </c>
      <c r="AN13" s="406" t="s">
        <v>262</v>
      </c>
      <c r="AP13" s="386">
        <v>8</v>
      </c>
      <c r="AQ13" s="544">
        <v>380</v>
      </c>
      <c r="AR13" s="545" t="s">
        <v>133</v>
      </c>
      <c r="AS13" s="540">
        <v>837</v>
      </c>
      <c r="AT13" s="541">
        <v>557.82500000000005</v>
      </c>
      <c r="AU13" s="542">
        <v>507</v>
      </c>
      <c r="AV13" s="546"/>
      <c r="AX13" s="386">
        <v>8</v>
      </c>
      <c r="AY13" s="357">
        <v>5797</v>
      </c>
      <c r="AZ13" s="387" t="s">
        <v>238</v>
      </c>
      <c r="BA13" s="358">
        <v>817.07500000000005</v>
      </c>
      <c r="BB13" s="359">
        <v>554.01324999999997</v>
      </c>
      <c r="BC13" s="400">
        <v>499.40550000000002</v>
      </c>
      <c r="BD13" s="406" t="s">
        <v>262</v>
      </c>
    </row>
    <row r="14" spans="2:56" x14ac:dyDescent="0.2">
      <c r="B14" s="386">
        <v>9</v>
      </c>
      <c r="C14" s="375">
        <v>2759</v>
      </c>
      <c r="D14" s="376" t="s">
        <v>287</v>
      </c>
      <c r="E14" s="377">
        <v>831.15</v>
      </c>
      <c r="F14" s="378">
        <v>565.70000000000005</v>
      </c>
      <c r="G14" s="402">
        <v>508.8</v>
      </c>
      <c r="H14" s="406"/>
      <c r="J14" s="386">
        <v>9</v>
      </c>
      <c r="K14" s="375">
        <v>2759</v>
      </c>
      <c r="L14" s="376" t="s">
        <v>287</v>
      </c>
      <c r="M14" s="377">
        <v>831.15</v>
      </c>
      <c r="N14" s="378">
        <v>565.70000000000005</v>
      </c>
      <c r="O14" s="402">
        <v>508.8</v>
      </c>
      <c r="P14" s="406"/>
      <c r="R14" s="386">
        <v>9</v>
      </c>
      <c r="S14" s="375">
        <v>2759</v>
      </c>
      <c r="T14" s="376" t="s">
        <v>287</v>
      </c>
      <c r="U14" s="377">
        <v>831.15</v>
      </c>
      <c r="V14" s="378">
        <v>565.70000000000005</v>
      </c>
      <c r="W14" s="402">
        <v>508.8</v>
      </c>
      <c r="X14" s="406"/>
      <c r="Z14" s="386">
        <v>9</v>
      </c>
      <c r="AA14" s="375">
        <v>2759</v>
      </c>
      <c r="AB14" s="376" t="s">
        <v>287</v>
      </c>
      <c r="AC14" s="377">
        <v>831.15</v>
      </c>
      <c r="AD14" s="378">
        <v>565.70000000000005</v>
      </c>
      <c r="AE14" s="402">
        <v>508.8</v>
      </c>
      <c r="AF14" s="406"/>
      <c r="AH14" s="386">
        <v>9</v>
      </c>
      <c r="AI14" s="375">
        <v>2759</v>
      </c>
      <c r="AJ14" s="376" t="s">
        <v>287</v>
      </c>
      <c r="AK14" s="377">
        <v>831.15</v>
      </c>
      <c r="AL14" s="378">
        <v>565.70000000000005</v>
      </c>
      <c r="AM14" s="402">
        <v>508.8</v>
      </c>
      <c r="AN14" s="406"/>
      <c r="AP14" s="386">
        <v>9</v>
      </c>
      <c r="AQ14" s="544">
        <v>1733</v>
      </c>
      <c r="AR14" s="545" t="s">
        <v>129</v>
      </c>
      <c r="AS14" s="540">
        <v>852.05</v>
      </c>
      <c r="AT14" s="541">
        <v>559.9</v>
      </c>
      <c r="AU14" s="542">
        <v>501.85</v>
      </c>
      <c r="AV14" s="546"/>
      <c r="AX14" s="386">
        <v>9</v>
      </c>
      <c r="AY14" s="375">
        <v>2759</v>
      </c>
      <c r="AZ14" s="376" t="s">
        <v>287</v>
      </c>
      <c r="BA14" s="377">
        <v>831.15</v>
      </c>
      <c r="BB14" s="378">
        <v>565.70000000000005</v>
      </c>
      <c r="BC14" s="402">
        <v>508.8</v>
      </c>
      <c r="BD14" s="406"/>
    </row>
    <row r="15" spans="2:56" x14ac:dyDescent="0.2">
      <c r="B15" s="386">
        <v>10</v>
      </c>
      <c r="C15" s="357">
        <v>321</v>
      </c>
      <c r="D15" s="387" t="s">
        <v>27</v>
      </c>
      <c r="E15" s="358">
        <v>845.65</v>
      </c>
      <c r="F15" s="359">
        <v>566.375</v>
      </c>
      <c r="G15" s="400">
        <v>508.7</v>
      </c>
      <c r="H15" s="406"/>
      <c r="J15" s="386">
        <v>10</v>
      </c>
      <c r="K15" s="357">
        <v>321</v>
      </c>
      <c r="L15" s="387" t="s">
        <v>27</v>
      </c>
      <c r="M15" s="358">
        <v>845.65</v>
      </c>
      <c r="N15" s="359">
        <v>566.375</v>
      </c>
      <c r="O15" s="400">
        <v>508.7</v>
      </c>
      <c r="P15" s="406"/>
      <c r="R15" s="386">
        <v>10</v>
      </c>
      <c r="S15" s="357">
        <v>321</v>
      </c>
      <c r="T15" s="387" t="s">
        <v>27</v>
      </c>
      <c r="U15" s="358">
        <v>845.65</v>
      </c>
      <c r="V15" s="359">
        <v>566.375</v>
      </c>
      <c r="W15" s="400">
        <v>508.7</v>
      </c>
      <c r="X15" s="406"/>
      <c r="Z15" s="386">
        <v>10</v>
      </c>
      <c r="AA15" s="357">
        <v>321</v>
      </c>
      <c r="AB15" s="387" t="s">
        <v>27</v>
      </c>
      <c r="AC15" s="358">
        <v>845.65</v>
      </c>
      <c r="AD15" s="359">
        <v>566.375</v>
      </c>
      <c r="AE15" s="400">
        <v>508.7</v>
      </c>
      <c r="AF15" s="406"/>
      <c r="AH15" s="386">
        <v>10</v>
      </c>
      <c r="AI15" s="357">
        <v>321</v>
      </c>
      <c r="AJ15" s="387" t="s">
        <v>27</v>
      </c>
      <c r="AK15" s="358">
        <v>845.65</v>
      </c>
      <c r="AL15" s="359">
        <v>566.375</v>
      </c>
      <c r="AM15" s="400">
        <v>508.7</v>
      </c>
      <c r="AN15" s="406"/>
      <c r="AP15" s="386">
        <v>10</v>
      </c>
      <c r="AQ15" s="550">
        <v>2759</v>
      </c>
      <c r="AR15" s="551" t="s">
        <v>328</v>
      </c>
      <c r="AS15" s="552">
        <v>836.1</v>
      </c>
      <c r="AT15" s="553">
        <v>566.4</v>
      </c>
      <c r="AU15" s="554">
        <v>509.55</v>
      </c>
      <c r="AV15" s="546"/>
      <c r="AX15" s="386">
        <v>10</v>
      </c>
      <c r="AY15" s="357">
        <v>321</v>
      </c>
      <c r="AZ15" s="387" t="s">
        <v>27</v>
      </c>
      <c r="BA15" s="358">
        <v>845.65</v>
      </c>
      <c r="BB15" s="359">
        <v>566.375</v>
      </c>
      <c r="BC15" s="400">
        <v>508.7</v>
      </c>
      <c r="BD15" s="406"/>
    </row>
    <row r="16" spans="2:56" x14ac:dyDescent="0.2">
      <c r="B16" s="386">
        <v>11</v>
      </c>
      <c r="C16" s="357">
        <v>346</v>
      </c>
      <c r="D16" s="387" t="s">
        <v>237</v>
      </c>
      <c r="E16" s="358">
        <v>849.85</v>
      </c>
      <c r="F16" s="359">
        <v>567.375</v>
      </c>
      <c r="G16" s="400">
        <v>519.29999999999995</v>
      </c>
      <c r="H16" s="406"/>
      <c r="J16" s="386">
        <v>11</v>
      </c>
      <c r="K16" s="357">
        <v>346</v>
      </c>
      <c r="L16" s="387" t="s">
        <v>237</v>
      </c>
      <c r="M16" s="358">
        <v>849.85</v>
      </c>
      <c r="N16" s="359">
        <v>567.375</v>
      </c>
      <c r="O16" s="400">
        <v>519.29999999999995</v>
      </c>
      <c r="P16" s="406"/>
      <c r="R16" s="386">
        <v>11</v>
      </c>
      <c r="S16" s="357">
        <v>346</v>
      </c>
      <c r="T16" s="387" t="s">
        <v>237</v>
      </c>
      <c r="U16" s="358">
        <v>849.85</v>
      </c>
      <c r="V16" s="359">
        <v>567.375</v>
      </c>
      <c r="W16" s="400">
        <v>519.29999999999995</v>
      </c>
      <c r="X16" s="406"/>
      <c r="Z16" s="386">
        <v>11</v>
      </c>
      <c r="AA16" s="357">
        <v>346</v>
      </c>
      <c r="AB16" s="387" t="s">
        <v>237</v>
      </c>
      <c r="AC16" s="358">
        <v>849.85</v>
      </c>
      <c r="AD16" s="359">
        <v>567.375</v>
      </c>
      <c r="AE16" s="400">
        <v>519.29999999999995</v>
      </c>
      <c r="AF16" s="406"/>
      <c r="AH16" s="386">
        <v>11</v>
      </c>
      <c r="AI16" s="357">
        <v>346</v>
      </c>
      <c r="AJ16" s="387" t="s">
        <v>237</v>
      </c>
      <c r="AK16" s="358">
        <v>849.85</v>
      </c>
      <c r="AL16" s="359">
        <v>567.375</v>
      </c>
      <c r="AM16" s="400">
        <v>519.29999999999995</v>
      </c>
      <c r="AN16" s="406"/>
      <c r="AP16" s="386">
        <v>11</v>
      </c>
      <c r="AQ16" s="544">
        <v>321</v>
      </c>
      <c r="AR16" s="545" t="s">
        <v>27</v>
      </c>
      <c r="AS16" s="540">
        <v>845.65</v>
      </c>
      <c r="AT16" s="541">
        <v>566.375</v>
      </c>
      <c r="AU16" s="542">
        <v>508.7</v>
      </c>
      <c r="AV16" s="546"/>
      <c r="AX16" s="386">
        <v>11</v>
      </c>
      <c r="AY16" s="357">
        <v>346</v>
      </c>
      <c r="AZ16" s="387" t="s">
        <v>237</v>
      </c>
      <c r="BA16" s="358">
        <v>849.85</v>
      </c>
      <c r="BB16" s="359">
        <v>567.375</v>
      </c>
      <c r="BC16" s="400">
        <v>519.29999999999995</v>
      </c>
      <c r="BD16" s="406"/>
    </row>
    <row r="17" spans="2:56" x14ac:dyDescent="0.2">
      <c r="B17" s="386">
        <v>12</v>
      </c>
      <c r="C17" s="357">
        <v>199</v>
      </c>
      <c r="D17" s="387" t="s">
        <v>25</v>
      </c>
      <c r="E17" s="358">
        <v>878.35</v>
      </c>
      <c r="F17" s="359">
        <v>568</v>
      </c>
      <c r="G17" s="400">
        <v>505.6</v>
      </c>
      <c r="H17" s="406"/>
      <c r="J17" s="386">
        <v>12</v>
      </c>
      <c r="K17" s="357">
        <v>199</v>
      </c>
      <c r="L17" s="387" t="s">
        <v>25</v>
      </c>
      <c r="M17" s="358">
        <v>878.35</v>
      </c>
      <c r="N17" s="359">
        <v>568</v>
      </c>
      <c r="O17" s="400">
        <v>505.6</v>
      </c>
      <c r="P17" s="406"/>
      <c r="R17" s="386">
        <v>12</v>
      </c>
      <c r="S17" s="357">
        <v>199</v>
      </c>
      <c r="T17" s="387" t="s">
        <v>25</v>
      </c>
      <c r="U17" s="358">
        <v>878.35</v>
      </c>
      <c r="V17" s="359">
        <v>568</v>
      </c>
      <c r="W17" s="400">
        <v>505.6</v>
      </c>
      <c r="X17" s="406"/>
      <c r="Z17" s="386">
        <v>12</v>
      </c>
      <c r="AA17" s="357">
        <v>199</v>
      </c>
      <c r="AB17" s="387" t="s">
        <v>25</v>
      </c>
      <c r="AC17" s="358">
        <v>878.35</v>
      </c>
      <c r="AD17" s="359">
        <v>568</v>
      </c>
      <c r="AE17" s="400">
        <v>505.6</v>
      </c>
      <c r="AF17" s="406"/>
      <c r="AH17" s="386">
        <v>12</v>
      </c>
      <c r="AI17" s="357">
        <v>199</v>
      </c>
      <c r="AJ17" s="387" t="s">
        <v>25</v>
      </c>
      <c r="AK17" s="358">
        <v>878.35</v>
      </c>
      <c r="AL17" s="359">
        <v>568</v>
      </c>
      <c r="AM17" s="400">
        <v>505.6</v>
      </c>
      <c r="AN17" s="406"/>
      <c r="AP17" s="386">
        <v>12</v>
      </c>
      <c r="AQ17" s="544">
        <v>346</v>
      </c>
      <c r="AR17" s="545" t="s">
        <v>237</v>
      </c>
      <c r="AS17" s="540">
        <v>849.85</v>
      </c>
      <c r="AT17" s="541">
        <v>567.375</v>
      </c>
      <c r="AU17" s="542">
        <v>519.29999999999995</v>
      </c>
      <c r="AV17" s="546"/>
      <c r="AX17" s="386">
        <v>12</v>
      </c>
      <c r="AY17" s="357">
        <v>199</v>
      </c>
      <c r="AZ17" s="387" t="s">
        <v>25</v>
      </c>
      <c r="BA17" s="358">
        <v>878.35</v>
      </c>
      <c r="BB17" s="359">
        <v>568</v>
      </c>
      <c r="BC17" s="400">
        <v>505.6</v>
      </c>
      <c r="BD17" s="406"/>
    </row>
    <row r="18" spans="2:56" x14ac:dyDescent="0.2">
      <c r="B18" s="386">
        <v>13</v>
      </c>
      <c r="C18" s="357">
        <v>2212</v>
      </c>
      <c r="D18" s="387" t="s">
        <v>29</v>
      </c>
      <c r="E18" s="358">
        <v>893.22738199461298</v>
      </c>
      <c r="F18" s="359">
        <v>570.59373375829796</v>
      </c>
      <c r="G18" s="400">
        <v>514.21499139131095</v>
      </c>
      <c r="H18" s="407"/>
      <c r="J18" s="386">
        <v>13</v>
      </c>
      <c r="K18" s="357">
        <v>2212</v>
      </c>
      <c r="L18" s="387" t="s">
        <v>29</v>
      </c>
      <c r="M18" s="358">
        <v>893.22738199461298</v>
      </c>
      <c r="N18" s="359">
        <v>570.59373375829796</v>
      </c>
      <c r="O18" s="400">
        <v>514.21499139131095</v>
      </c>
      <c r="P18" s="407"/>
      <c r="R18" s="386">
        <v>13</v>
      </c>
      <c r="S18" s="357">
        <v>2212</v>
      </c>
      <c r="T18" s="387" t="s">
        <v>29</v>
      </c>
      <c r="U18" s="358">
        <v>893.22738199461298</v>
      </c>
      <c r="V18" s="359">
        <v>570.59373375829796</v>
      </c>
      <c r="W18" s="400">
        <v>514.21499139131095</v>
      </c>
      <c r="X18" s="407"/>
      <c r="Z18" s="386">
        <v>13</v>
      </c>
      <c r="AA18" s="357">
        <v>2212</v>
      </c>
      <c r="AB18" s="387" t="s">
        <v>29</v>
      </c>
      <c r="AC18" s="358">
        <v>893.22738199461298</v>
      </c>
      <c r="AD18" s="359">
        <v>570.59373375829796</v>
      </c>
      <c r="AE18" s="400">
        <v>514.21499139131095</v>
      </c>
      <c r="AF18" s="407"/>
      <c r="AH18" s="386">
        <v>13</v>
      </c>
      <c r="AI18" s="357">
        <v>2212</v>
      </c>
      <c r="AJ18" s="387" t="s">
        <v>29</v>
      </c>
      <c r="AK18" s="358">
        <v>893.22738199461298</v>
      </c>
      <c r="AL18" s="359">
        <v>570.59373375829796</v>
      </c>
      <c r="AM18" s="400">
        <v>514.21499139131095</v>
      </c>
      <c r="AN18" s="407"/>
      <c r="AP18" s="386">
        <v>13</v>
      </c>
      <c r="AQ18" s="544">
        <v>199</v>
      </c>
      <c r="AR18" s="545" t="s">
        <v>25</v>
      </c>
      <c r="AS18" s="540">
        <v>878.35</v>
      </c>
      <c r="AT18" s="541">
        <v>568</v>
      </c>
      <c r="AU18" s="542">
        <v>505.6</v>
      </c>
      <c r="AV18" s="546"/>
      <c r="AX18" s="386">
        <v>13</v>
      </c>
      <c r="AY18" s="357">
        <v>2212</v>
      </c>
      <c r="AZ18" s="387" t="s">
        <v>29</v>
      </c>
      <c r="BA18" s="358">
        <v>893.22738199461298</v>
      </c>
      <c r="BB18" s="359">
        <v>570.59373375829796</v>
      </c>
      <c r="BC18" s="400">
        <v>514.21499139131095</v>
      </c>
      <c r="BD18" s="407"/>
    </row>
    <row r="19" spans="2:56" x14ac:dyDescent="0.2">
      <c r="B19" s="386">
        <v>14</v>
      </c>
      <c r="C19" s="357">
        <v>6732</v>
      </c>
      <c r="D19" s="387" t="s">
        <v>32</v>
      </c>
      <c r="E19" s="358">
        <v>855.39381721722395</v>
      </c>
      <c r="F19" s="359">
        <v>571.993913255998</v>
      </c>
      <c r="G19" s="400">
        <v>520.62384764970795</v>
      </c>
      <c r="H19" s="406"/>
      <c r="J19" s="386">
        <v>14</v>
      </c>
      <c r="K19" s="357">
        <v>6732</v>
      </c>
      <c r="L19" s="387" t="s">
        <v>32</v>
      </c>
      <c r="M19" s="358">
        <v>855.39381721722395</v>
      </c>
      <c r="N19" s="359">
        <v>571.993913255998</v>
      </c>
      <c r="O19" s="400">
        <v>520.62384764970795</v>
      </c>
      <c r="P19" s="406"/>
      <c r="R19" s="386">
        <v>14</v>
      </c>
      <c r="S19" s="357">
        <v>6732</v>
      </c>
      <c r="T19" s="387" t="s">
        <v>32</v>
      </c>
      <c r="U19" s="358">
        <v>855.39381721722395</v>
      </c>
      <c r="V19" s="359">
        <v>571.993913255998</v>
      </c>
      <c r="W19" s="400">
        <v>520.62384764970795</v>
      </c>
      <c r="X19" s="406"/>
      <c r="Z19" s="386">
        <v>14</v>
      </c>
      <c r="AA19" s="357">
        <v>6732</v>
      </c>
      <c r="AB19" s="387" t="s">
        <v>32</v>
      </c>
      <c r="AC19" s="358">
        <v>855.39381721722395</v>
      </c>
      <c r="AD19" s="359">
        <v>571.993913255998</v>
      </c>
      <c r="AE19" s="400">
        <v>520.62384764970795</v>
      </c>
      <c r="AF19" s="406"/>
      <c r="AH19" s="386">
        <v>14</v>
      </c>
      <c r="AI19" s="357">
        <v>6732</v>
      </c>
      <c r="AJ19" s="387" t="s">
        <v>32</v>
      </c>
      <c r="AK19" s="358">
        <v>855.39381721722395</v>
      </c>
      <c r="AL19" s="359">
        <v>571.993913255998</v>
      </c>
      <c r="AM19" s="400">
        <v>520.62384764970795</v>
      </c>
      <c r="AN19" s="406"/>
      <c r="AP19" s="386">
        <v>14</v>
      </c>
      <c r="AQ19" s="544">
        <v>6714</v>
      </c>
      <c r="AR19" s="545" t="s">
        <v>134</v>
      </c>
      <c r="AS19" s="547">
        <v>860.58699999999999</v>
      </c>
      <c r="AT19" s="548">
        <v>568.56662500000004</v>
      </c>
      <c r="AU19" s="549">
        <v>520.49249999999995</v>
      </c>
      <c r="AV19" s="543" t="s">
        <v>370</v>
      </c>
      <c r="AX19" s="386">
        <v>14</v>
      </c>
      <c r="AY19" s="357">
        <v>6732</v>
      </c>
      <c r="AZ19" s="387" t="s">
        <v>32</v>
      </c>
      <c r="BA19" s="358">
        <v>855.39381721722395</v>
      </c>
      <c r="BB19" s="359">
        <v>571.993913255998</v>
      </c>
      <c r="BC19" s="400">
        <v>520.62384764970795</v>
      </c>
      <c r="BD19" s="406"/>
    </row>
    <row r="20" spans="2:56" x14ac:dyDescent="0.2">
      <c r="B20" s="386">
        <v>15</v>
      </c>
      <c r="C20" s="357">
        <v>2221</v>
      </c>
      <c r="D20" s="387" t="s">
        <v>30</v>
      </c>
      <c r="E20" s="358">
        <v>859.19687382336303</v>
      </c>
      <c r="F20" s="359">
        <v>572.88502933768495</v>
      </c>
      <c r="G20" s="400">
        <v>518.98473459589604</v>
      </c>
      <c r="H20" s="406"/>
      <c r="J20" s="386">
        <v>15</v>
      </c>
      <c r="K20" s="357">
        <v>2221</v>
      </c>
      <c r="L20" s="387" t="s">
        <v>30</v>
      </c>
      <c r="M20" s="358">
        <v>859.19687382336303</v>
      </c>
      <c r="N20" s="359">
        <v>572.88502933768495</v>
      </c>
      <c r="O20" s="400">
        <v>518.98473459589604</v>
      </c>
      <c r="P20" s="406"/>
      <c r="R20" s="386">
        <v>15</v>
      </c>
      <c r="S20" s="357">
        <v>2221</v>
      </c>
      <c r="T20" s="387" t="s">
        <v>30</v>
      </c>
      <c r="U20" s="358">
        <v>859.19687382336303</v>
      </c>
      <c r="V20" s="359">
        <v>572.88502933768495</v>
      </c>
      <c r="W20" s="400">
        <v>518.98473459589604</v>
      </c>
      <c r="X20" s="406"/>
      <c r="Z20" s="386">
        <v>15</v>
      </c>
      <c r="AA20" s="357">
        <v>2221</v>
      </c>
      <c r="AB20" s="387" t="s">
        <v>30</v>
      </c>
      <c r="AC20" s="358">
        <v>859.19687382336303</v>
      </c>
      <c r="AD20" s="359">
        <v>572.88502933768495</v>
      </c>
      <c r="AE20" s="400">
        <v>518.98473459589604</v>
      </c>
      <c r="AF20" s="406"/>
      <c r="AH20" s="386">
        <v>15</v>
      </c>
      <c r="AI20" s="357">
        <v>2221</v>
      </c>
      <c r="AJ20" s="387" t="s">
        <v>30</v>
      </c>
      <c r="AK20" s="358">
        <v>859.19687382336303</v>
      </c>
      <c r="AL20" s="359">
        <v>572.88502933768495</v>
      </c>
      <c r="AM20" s="400">
        <v>518.98473459589604</v>
      </c>
      <c r="AN20" s="406"/>
      <c r="AP20" s="386">
        <v>15</v>
      </c>
      <c r="AQ20" s="544">
        <v>5854</v>
      </c>
      <c r="AR20" s="545" t="s">
        <v>182</v>
      </c>
      <c r="AS20" s="547">
        <v>828.1</v>
      </c>
      <c r="AT20" s="548">
        <v>569.650125</v>
      </c>
      <c r="AU20" s="549">
        <v>517.077</v>
      </c>
      <c r="AV20" s="543" t="s">
        <v>370</v>
      </c>
      <c r="AX20" s="386">
        <v>15</v>
      </c>
      <c r="AY20" s="357">
        <v>2221</v>
      </c>
      <c r="AZ20" s="387" t="s">
        <v>30</v>
      </c>
      <c r="BA20" s="358">
        <v>859.19687382336303</v>
      </c>
      <c r="BB20" s="359">
        <v>572.88502933768495</v>
      </c>
      <c r="BC20" s="400">
        <v>518.98473459589604</v>
      </c>
      <c r="BD20" s="406"/>
    </row>
    <row r="21" spans="2:56" x14ac:dyDescent="0.2">
      <c r="B21" s="386">
        <v>16</v>
      </c>
      <c r="C21" s="357">
        <v>1403</v>
      </c>
      <c r="D21" s="387" t="s">
        <v>135</v>
      </c>
      <c r="E21" s="358">
        <v>879.45</v>
      </c>
      <c r="F21" s="359">
        <v>575.125</v>
      </c>
      <c r="G21" s="400">
        <v>519.54999999999995</v>
      </c>
      <c r="H21" s="406"/>
      <c r="J21" s="386">
        <v>16</v>
      </c>
      <c r="K21" s="357">
        <v>1403</v>
      </c>
      <c r="L21" s="387" t="s">
        <v>135</v>
      </c>
      <c r="M21" s="358">
        <v>879.45</v>
      </c>
      <c r="N21" s="359">
        <v>575.125</v>
      </c>
      <c r="O21" s="400">
        <v>519.54999999999995</v>
      </c>
      <c r="P21" s="406"/>
      <c r="R21" s="386">
        <v>16</v>
      </c>
      <c r="S21" s="357">
        <v>1403</v>
      </c>
      <c r="T21" s="387" t="s">
        <v>135</v>
      </c>
      <c r="U21" s="358">
        <v>879.45</v>
      </c>
      <c r="V21" s="359">
        <v>575.125</v>
      </c>
      <c r="W21" s="400">
        <v>519.54999999999995</v>
      </c>
      <c r="X21" s="406"/>
      <c r="Z21" s="386">
        <v>16</v>
      </c>
      <c r="AA21" s="357">
        <v>1403</v>
      </c>
      <c r="AB21" s="387" t="s">
        <v>135</v>
      </c>
      <c r="AC21" s="358">
        <v>879.45</v>
      </c>
      <c r="AD21" s="359">
        <v>575.125</v>
      </c>
      <c r="AE21" s="400">
        <v>519.54999999999995</v>
      </c>
      <c r="AF21" s="406"/>
      <c r="AH21" s="386">
        <v>16</v>
      </c>
      <c r="AI21" s="357">
        <v>1403</v>
      </c>
      <c r="AJ21" s="387" t="s">
        <v>135</v>
      </c>
      <c r="AK21" s="358">
        <v>879.45</v>
      </c>
      <c r="AL21" s="359">
        <v>575.125</v>
      </c>
      <c r="AM21" s="400">
        <v>519.54999999999995</v>
      </c>
      <c r="AN21" s="406"/>
      <c r="AP21" s="386">
        <v>16</v>
      </c>
      <c r="AQ21" s="544">
        <v>2212</v>
      </c>
      <c r="AR21" s="545" t="s">
        <v>29</v>
      </c>
      <c r="AS21" s="540">
        <v>893.22738199461298</v>
      </c>
      <c r="AT21" s="541">
        <v>570.59373375829796</v>
      </c>
      <c r="AU21" s="542">
        <v>514.21499139131095</v>
      </c>
      <c r="AV21" s="546"/>
      <c r="AX21" s="386">
        <v>16</v>
      </c>
      <c r="AY21" s="357">
        <v>1403</v>
      </c>
      <c r="AZ21" s="387" t="s">
        <v>135</v>
      </c>
      <c r="BA21" s="358">
        <v>879.45</v>
      </c>
      <c r="BB21" s="359">
        <v>575.125</v>
      </c>
      <c r="BC21" s="400">
        <v>519.54999999999995</v>
      </c>
      <c r="BD21" s="406"/>
    </row>
    <row r="22" spans="2:56" x14ac:dyDescent="0.2">
      <c r="B22" s="386">
        <v>17</v>
      </c>
      <c r="C22" s="357">
        <v>5496</v>
      </c>
      <c r="D22" s="387" t="s">
        <v>184</v>
      </c>
      <c r="E22" s="358">
        <v>868</v>
      </c>
      <c r="F22" s="359">
        <v>575.9</v>
      </c>
      <c r="G22" s="400">
        <v>515.75</v>
      </c>
      <c r="H22" s="406"/>
      <c r="J22" s="386">
        <v>17</v>
      </c>
      <c r="K22" s="357">
        <v>5496</v>
      </c>
      <c r="L22" s="387" t="s">
        <v>184</v>
      </c>
      <c r="M22" s="358">
        <v>868</v>
      </c>
      <c r="N22" s="359">
        <v>575.9</v>
      </c>
      <c r="O22" s="400">
        <v>515.75</v>
      </c>
      <c r="P22" s="406"/>
      <c r="R22" s="386">
        <v>17</v>
      </c>
      <c r="S22" s="357">
        <v>5496</v>
      </c>
      <c r="T22" s="387" t="s">
        <v>184</v>
      </c>
      <c r="U22" s="358">
        <v>868</v>
      </c>
      <c r="V22" s="359">
        <v>575.9</v>
      </c>
      <c r="W22" s="400">
        <v>515.75</v>
      </c>
      <c r="X22" s="406"/>
      <c r="Z22" s="386">
        <v>17</v>
      </c>
      <c r="AA22" s="357">
        <v>5496</v>
      </c>
      <c r="AB22" s="387" t="s">
        <v>184</v>
      </c>
      <c r="AC22" s="358">
        <v>868</v>
      </c>
      <c r="AD22" s="359">
        <v>575.9</v>
      </c>
      <c r="AE22" s="400">
        <v>515.75</v>
      </c>
      <c r="AF22" s="406"/>
      <c r="AH22" s="386">
        <v>17</v>
      </c>
      <c r="AI22" s="357">
        <v>5496</v>
      </c>
      <c r="AJ22" s="387" t="s">
        <v>184</v>
      </c>
      <c r="AK22" s="358">
        <v>868</v>
      </c>
      <c r="AL22" s="359">
        <v>575.9</v>
      </c>
      <c r="AM22" s="400">
        <v>515.75</v>
      </c>
      <c r="AN22" s="406"/>
      <c r="AP22" s="386">
        <v>17</v>
      </c>
      <c r="AQ22" s="544">
        <v>150</v>
      </c>
      <c r="AR22" s="545" t="s">
        <v>183</v>
      </c>
      <c r="AS22" s="547">
        <v>845.69100000000003</v>
      </c>
      <c r="AT22" s="548">
        <v>572.35887500000001</v>
      </c>
      <c r="AU22" s="549">
        <v>520.98749999999995</v>
      </c>
      <c r="AV22" s="543" t="s">
        <v>370</v>
      </c>
      <c r="AX22" s="386">
        <v>17</v>
      </c>
      <c r="AY22" s="357">
        <v>5496</v>
      </c>
      <c r="AZ22" s="387" t="s">
        <v>184</v>
      </c>
      <c r="BA22" s="358">
        <v>868</v>
      </c>
      <c r="BB22" s="359">
        <v>575.9</v>
      </c>
      <c r="BC22" s="400">
        <v>515.75</v>
      </c>
      <c r="BD22" s="406"/>
    </row>
    <row r="23" spans="2:56" x14ac:dyDescent="0.2">
      <c r="B23" s="386">
        <v>18</v>
      </c>
      <c r="C23" s="357">
        <v>6714</v>
      </c>
      <c r="D23" s="387" t="s">
        <v>134</v>
      </c>
      <c r="E23" s="358">
        <v>860.58699999999999</v>
      </c>
      <c r="F23" s="359">
        <v>568.56662500000004</v>
      </c>
      <c r="G23" s="400">
        <v>520.49249999999995</v>
      </c>
      <c r="H23" s="406" t="s">
        <v>262</v>
      </c>
      <c r="J23" s="386">
        <v>18</v>
      </c>
      <c r="K23" s="357">
        <v>6714</v>
      </c>
      <c r="L23" s="387" t="s">
        <v>134</v>
      </c>
      <c r="M23" s="358">
        <v>860.58699999999999</v>
      </c>
      <c r="N23" s="359">
        <v>568.56662500000004</v>
      </c>
      <c r="O23" s="400">
        <v>520.49249999999995</v>
      </c>
      <c r="P23" s="406" t="s">
        <v>262</v>
      </c>
      <c r="R23" s="386">
        <v>18</v>
      </c>
      <c r="S23" s="357">
        <v>6714</v>
      </c>
      <c r="T23" s="387" t="s">
        <v>134</v>
      </c>
      <c r="U23" s="358">
        <v>860.58699999999999</v>
      </c>
      <c r="V23" s="359">
        <v>568.56662500000004</v>
      </c>
      <c r="W23" s="400">
        <v>520.49249999999995</v>
      </c>
      <c r="X23" s="406" t="s">
        <v>262</v>
      </c>
      <c r="Z23" s="386">
        <v>18</v>
      </c>
      <c r="AA23" s="357">
        <v>6714</v>
      </c>
      <c r="AB23" s="387" t="s">
        <v>134</v>
      </c>
      <c r="AC23" s="358">
        <v>860.58699999999999</v>
      </c>
      <c r="AD23" s="359">
        <v>568.56662500000004</v>
      </c>
      <c r="AE23" s="400">
        <v>520.49249999999995</v>
      </c>
      <c r="AF23" s="406" t="s">
        <v>262</v>
      </c>
      <c r="AH23" s="386">
        <v>18</v>
      </c>
      <c r="AI23" s="357">
        <v>6714</v>
      </c>
      <c r="AJ23" s="387" t="s">
        <v>134</v>
      </c>
      <c r="AK23" s="358">
        <v>860.58699999999999</v>
      </c>
      <c r="AL23" s="359">
        <v>568.56662500000004</v>
      </c>
      <c r="AM23" s="400">
        <v>520.49249999999995</v>
      </c>
      <c r="AN23" s="406" t="s">
        <v>262</v>
      </c>
      <c r="AP23" s="386">
        <v>18</v>
      </c>
      <c r="AQ23" s="544">
        <v>2221</v>
      </c>
      <c r="AR23" s="545" t="s">
        <v>30</v>
      </c>
      <c r="AS23" s="540">
        <v>859.19687382336303</v>
      </c>
      <c r="AT23" s="541">
        <v>572.88502933768495</v>
      </c>
      <c r="AU23" s="542">
        <v>518.98473459589604</v>
      </c>
      <c r="AV23" s="546"/>
      <c r="AX23" s="386">
        <v>18</v>
      </c>
      <c r="AY23" s="357">
        <v>6714</v>
      </c>
      <c r="AZ23" s="387" t="s">
        <v>134</v>
      </c>
      <c r="BA23" s="358">
        <v>860.58699999999999</v>
      </c>
      <c r="BB23" s="359">
        <v>568.56662500000004</v>
      </c>
      <c r="BC23" s="400">
        <v>520.49249999999995</v>
      </c>
      <c r="BD23" s="406" t="s">
        <v>262</v>
      </c>
    </row>
    <row r="24" spans="2:56" x14ac:dyDescent="0.2">
      <c r="B24" s="386">
        <v>19</v>
      </c>
      <c r="C24" s="357">
        <v>6735</v>
      </c>
      <c r="D24" s="387" t="s">
        <v>239</v>
      </c>
      <c r="E24" s="358">
        <v>852.9</v>
      </c>
      <c r="F24" s="359">
        <v>578.5</v>
      </c>
      <c r="G24" s="400">
        <v>525.20000000000005</v>
      </c>
      <c r="H24" s="406"/>
      <c r="J24" s="386">
        <v>19</v>
      </c>
      <c r="K24" s="357">
        <v>6735</v>
      </c>
      <c r="L24" s="387" t="s">
        <v>239</v>
      </c>
      <c r="M24" s="358">
        <v>852.9</v>
      </c>
      <c r="N24" s="359">
        <v>578.5</v>
      </c>
      <c r="O24" s="400">
        <v>525.20000000000005</v>
      </c>
      <c r="P24" s="406"/>
      <c r="R24" s="386">
        <v>19</v>
      </c>
      <c r="S24" s="357">
        <v>6735</v>
      </c>
      <c r="T24" s="387" t="s">
        <v>239</v>
      </c>
      <c r="U24" s="358">
        <v>852.9</v>
      </c>
      <c r="V24" s="359">
        <v>578.5</v>
      </c>
      <c r="W24" s="400">
        <v>525.20000000000005</v>
      </c>
      <c r="X24" s="406"/>
      <c r="Z24" s="386">
        <v>19</v>
      </c>
      <c r="AA24" s="357">
        <v>6735</v>
      </c>
      <c r="AB24" s="387" t="s">
        <v>239</v>
      </c>
      <c r="AC24" s="358">
        <v>852.9</v>
      </c>
      <c r="AD24" s="359">
        <v>578.5</v>
      </c>
      <c r="AE24" s="400">
        <v>525.20000000000005</v>
      </c>
      <c r="AF24" s="406"/>
      <c r="AH24" s="386">
        <v>19</v>
      </c>
      <c r="AI24" s="357">
        <v>6735</v>
      </c>
      <c r="AJ24" s="387" t="s">
        <v>239</v>
      </c>
      <c r="AK24" s="358">
        <v>852.9</v>
      </c>
      <c r="AL24" s="359">
        <v>578.5</v>
      </c>
      <c r="AM24" s="400">
        <v>525.20000000000005</v>
      </c>
      <c r="AN24" s="406"/>
      <c r="AP24" s="386">
        <v>19</v>
      </c>
      <c r="AQ24" s="544">
        <v>1403</v>
      </c>
      <c r="AR24" s="545" t="s">
        <v>135</v>
      </c>
      <c r="AS24" s="540">
        <v>879.45</v>
      </c>
      <c r="AT24" s="541">
        <v>575.125</v>
      </c>
      <c r="AU24" s="542">
        <v>519.54999999999995</v>
      </c>
      <c r="AV24" s="546"/>
      <c r="AX24" s="386">
        <v>19</v>
      </c>
      <c r="AY24" s="357">
        <v>6735</v>
      </c>
      <c r="AZ24" s="387" t="s">
        <v>239</v>
      </c>
      <c r="BA24" s="358">
        <v>852.9</v>
      </c>
      <c r="BB24" s="359">
        <v>578.5</v>
      </c>
      <c r="BC24" s="400">
        <v>525.20000000000005</v>
      </c>
      <c r="BD24" s="406"/>
    </row>
    <row r="25" spans="2:56" x14ac:dyDescent="0.2">
      <c r="B25" s="386">
        <v>20</v>
      </c>
      <c r="C25" s="357">
        <v>162</v>
      </c>
      <c r="D25" s="387" t="s">
        <v>190</v>
      </c>
      <c r="E25" s="358">
        <v>864.15</v>
      </c>
      <c r="F25" s="359">
        <v>579.29999999999995</v>
      </c>
      <c r="G25" s="400">
        <v>522.5</v>
      </c>
      <c r="H25" s="406"/>
      <c r="J25" s="386">
        <v>20</v>
      </c>
      <c r="K25" s="357">
        <v>162</v>
      </c>
      <c r="L25" s="387" t="s">
        <v>190</v>
      </c>
      <c r="M25" s="358">
        <v>864.15</v>
      </c>
      <c r="N25" s="359">
        <v>579.29999999999995</v>
      </c>
      <c r="O25" s="400">
        <v>522.5</v>
      </c>
      <c r="P25" s="406"/>
      <c r="R25" s="386">
        <v>20</v>
      </c>
      <c r="S25" s="357">
        <v>162</v>
      </c>
      <c r="T25" s="387" t="s">
        <v>190</v>
      </c>
      <c r="U25" s="358">
        <v>864.15</v>
      </c>
      <c r="V25" s="359">
        <v>579.29999999999995</v>
      </c>
      <c r="W25" s="400">
        <v>522.5</v>
      </c>
      <c r="X25" s="406"/>
      <c r="Z25" s="386">
        <v>20</v>
      </c>
      <c r="AA25" s="357">
        <v>162</v>
      </c>
      <c r="AB25" s="387" t="s">
        <v>190</v>
      </c>
      <c r="AC25" s="358">
        <v>864.15</v>
      </c>
      <c r="AD25" s="359">
        <v>579.29999999999995</v>
      </c>
      <c r="AE25" s="400">
        <v>522.5</v>
      </c>
      <c r="AF25" s="406"/>
      <c r="AH25" s="386">
        <v>20</v>
      </c>
      <c r="AI25" s="357">
        <v>162</v>
      </c>
      <c r="AJ25" s="387" t="s">
        <v>190</v>
      </c>
      <c r="AK25" s="358">
        <v>864.15</v>
      </c>
      <c r="AL25" s="359">
        <v>579.29999999999995</v>
      </c>
      <c r="AM25" s="400">
        <v>522.5</v>
      </c>
      <c r="AN25" s="406"/>
      <c r="AP25" s="529">
        <v>20</v>
      </c>
      <c r="AQ25" s="555">
        <v>6732</v>
      </c>
      <c r="AR25" s="556" t="s">
        <v>32</v>
      </c>
      <c r="AS25" s="552">
        <v>847.95</v>
      </c>
      <c r="AT25" s="553">
        <v>574.25</v>
      </c>
      <c r="AU25" s="554">
        <v>523.75</v>
      </c>
      <c r="AV25" s="546"/>
      <c r="AX25" s="386">
        <v>20</v>
      </c>
      <c r="AY25" s="357">
        <v>162</v>
      </c>
      <c r="AZ25" s="387" t="s">
        <v>190</v>
      </c>
      <c r="BA25" s="358">
        <v>864.15</v>
      </c>
      <c r="BB25" s="359">
        <v>579.29999999999995</v>
      </c>
      <c r="BC25" s="400">
        <v>522.5</v>
      </c>
      <c r="BD25" s="406"/>
    </row>
    <row r="26" spans="2:56" x14ac:dyDescent="0.2">
      <c r="B26" s="386">
        <v>21</v>
      </c>
      <c r="C26" s="357">
        <v>6766</v>
      </c>
      <c r="D26" s="387" t="s">
        <v>31</v>
      </c>
      <c r="E26" s="358">
        <v>861.33196885072402</v>
      </c>
      <c r="F26" s="359">
        <v>580.28401809445302</v>
      </c>
      <c r="G26" s="400">
        <v>522.82691186688703</v>
      </c>
      <c r="H26" s="406"/>
      <c r="J26" s="386">
        <v>21</v>
      </c>
      <c r="K26" s="357">
        <v>6766</v>
      </c>
      <c r="L26" s="387" t="s">
        <v>31</v>
      </c>
      <c r="M26" s="358">
        <v>861.33196885072402</v>
      </c>
      <c r="N26" s="359">
        <v>580.28401809445302</v>
      </c>
      <c r="O26" s="400">
        <v>522.82691186688703</v>
      </c>
      <c r="P26" s="406"/>
      <c r="R26" s="386">
        <v>21</v>
      </c>
      <c r="S26" s="357">
        <v>6766</v>
      </c>
      <c r="T26" s="387" t="s">
        <v>31</v>
      </c>
      <c r="U26" s="358">
        <v>861.33196885072402</v>
      </c>
      <c r="V26" s="359">
        <v>580.28401809445302</v>
      </c>
      <c r="W26" s="400">
        <v>522.82691186688703</v>
      </c>
      <c r="X26" s="406"/>
      <c r="Z26" s="386">
        <v>21</v>
      </c>
      <c r="AA26" s="357">
        <v>6766</v>
      </c>
      <c r="AB26" s="387" t="s">
        <v>31</v>
      </c>
      <c r="AC26" s="358">
        <v>861.33196885072402</v>
      </c>
      <c r="AD26" s="359">
        <v>580.28401809445302</v>
      </c>
      <c r="AE26" s="400">
        <v>522.82691186688703</v>
      </c>
      <c r="AF26" s="406"/>
      <c r="AH26" s="386">
        <v>21</v>
      </c>
      <c r="AI26" s="357">
        <v>6766</v>
      </c>
      <c r="AJ26" s="387" t="s">
        <v>31</v>
      </c>
      <c r="AK26" s="358">
        <v>861.33196885072402</v>
      </c>
      <c r="AL26" s="359">
        <v>580.28401809445302</v>
      </c>
      <c r="AM26" s="400">
        <v>522.82691186688703</v>
      </c>
      <c r="AN26" s="406"/>
      <c r="AP26" s="386">
        <v>21</v>
      </c>
      <c r="AQ26" s="544">
        <v>3387</v>
      </c>
      <c r="AR26" s="545" t="s">
        <v>136</v>
      </c>
      <c r="AS26" s="547">
        <v>844.95600000000002</v>
      </c>
      <c r="AT26" s="548">
        <v>575.806375</v>
      </c>
      <c r="AU26" s="549">
        <v>523.06650000000002</v>
      </c>
      <c r="AV26" s="543" t="s">
        <v>370</v>
      </c>
      <c r="AX26" s="386">
        <v>21</v>
      </c>
      <c r="AY26" s="357">
        <v>6766</v>
      </c>
      <c r="AZ26" s="387" t="s">
        <v>31</v>
      </c>
      <c r="BA26" s="358">
        <v>861.33196885072402</v>
      </c>
      <c r="BB26" s="359">
        <v>580.28401809445302</v>
      </c>
      <c r="BC26" s="400">
        <v>522.82691186688703</v>
      </c>
      <c r="BD26" s="406"/>
    </row>
    <row r="27" spans="2:56" x14ac:dyDescent="0.2">
      <c r="B27" s="386">
        <v>22</v>
      </c>
      <c r="C27" s="357">
        <v>150</v>
      </c>
      <c r="D27" s="387" t="s">
        <v>183</v>
      </c>
      <c r="E27" s="358">
        <v>845.69100000000003</v>
      </c>
      <c r="F27" s="359">
        <v>572.35887500000001</v>
      </c>
      <c r="G27" s="400">
        <v>520.98749999999995</v>
      </c>
      <c r="H27" s="406" t="s">
        <v>262</v>
      </c>
      <c r="J27" s="386">
        <v>22</v>
      </c>
      <c r="K27" s="357">
        <v>150</v>
      </c>
      <c r="L27" s="387" t="s">
        <v>183</v>
      </c>
      <c r="M27" s="358">
        <v>845.69100000000003</v>
      </c>
      <c r="N27" s="359">
        <v>572.35887500000001</v>
      </c>
      <c r="O27" s="400">
        <v>520.98749999999995</v>
      </c>
      <c r="P27" s="406" t="s">
        <v>262</v>
      </c>
      <c r="R27" s="386">
        <v>22</v>
      </c>
      <c r="S27" s="357">
        <v>150</v>
      </c>
      <c r="T27" s="387" t="s">
        <v>183</v>
      </c>
      <c r="U27" s="358">
        <v>845.69100000000003</v>
      </c>
      <c r="V27" s="359">
        <v>572.35887500000001</v>
      </c>
      <c r="W27" s="400">
        <v>520.98749999999995</v>
      </c>
      <c r="X27" s="406" t="s">
        <v>262</v>
      </c>
      <c r="Z27" s="386">
        <v>22</v>
      </c>
      <c r="AA27" s="357">
        <v>150</v>
      </c>
      <c r="AB27" s="387" t="s">
        <v>183</v>
      </c>
      <c r="AC27" s="358">
        <v>845.69100000000003</v>
      </c>
      <c r="AD27" s="359">
        <v>572.35887500000001</v>
      </c>
      <c r="AE27" s="400">
        <v>520.98749999999995</v>
      </c>
      <c r="AF27" s="406" t="s">
        <v>262</v>
      </c>
      <c r="AH27" s="386">
        <v>22</v>
      </c>
      <c r="AI27" s="357">
        <v>150</v>
      </c>
      <c r="AJ27" s="387" t="s">
        <v>183</v>
      </c>
      <c r="AK27" s="358">
        <v>845.69100000000003</v>
      </c>
      <c r="AL27" s="359">
        <v>572.35887500000001</v>
      </c>
      <c r="AM27" s="400">
        <v>520.98749999999995</v>
      </c>
      <c r="AN27" s="406" t="s">
        <v>262</v>
      </c>
      <c r="AP27" s="386">
        <v>22</v>
      </c>
      <c r="AQ27" s="544">
        <v>5496</v>
      </c>
      <c r="AR27" s="545" t="s">
        <v>184</v>
      </c>
      <c r="AS27" s="540">
        <v>868</v>
      </c>
      <c r="AT27" s="541">
        <v>575.9</v>
      </c>
      <c r="AU27" s="542">
        <v>515.75</v>
      </c>
      <c r="AV27" s="546"/>
      <c r="AX27" s="386">
        <v>22</v>
      </c>
      <c r="AY27" s="357">
        <v>150</v>
      </c>
      <c r="AZ27" s="387" t="s">
        <v>183</v>
      </c>
      <c r="BA27" s="358">
        <v>845.69100000000003</v>
      </c>
      <c r="BB27" s="359">
        <v>572.35887500000001</v>
      </c>
      <c r="BC27" s="400">
        <v>520.98749999999995</v>
      </c>
      <c r="BD27" s="406" t="s">
        <v>262</v>
      </c>
    </row>
    <row r="28" spans="2:56" x14ac:dyDescent="0.2">
      <c r="B28" s="386">
        <v>23</v>
      </c>
      <c r="C28" s="357">
        <v>5854</v>
      </c>
      <c r="D28" s="387" t="s">
        <v>182</v>
      </c>
      <c r="E28" s="358">
        <v>828.1</v>
      </c>
      <c r="F28" s="359">
        <v>569.650125</v>
      </c>
      <c r="G28" s="400">
        <v>517.077</v>
      </c>
      <c r="H28" s="406" t="s">
        <v>262</v>
      </c>
      <c r="J28" s="386">
        <v>23</v>
      </c>
      <c r="K28" s="357">
        <v>5854</v>
      </c>
      <c r="L28" s="387" t="s">
        <v>182</v>
      </c>
      <c r="M28" s="358">
        <v>828.1</v>
      </c>
      <c r="N28" s="359">
        <v>569.650125</v>
      </c>
      <c r="O28" s="400">
        <v>517.077</v>
      </c>
      <c r="P28" s="406" t="s">
        <v>262</v>
      </c>
      <c r="R28" s="386">
        <v>23</v>
      </c>
      <c r="S28" s="357">
        <v>5854</v>
      </c>
      <c r="T28" s="387" t="s">
        <v>182</v>
      </c>
      <c r="U28" s="358">
        <v>828.1</v>
      </c>
      <c r="V28" s="359">
        <v>569.650125</v>
      </c>
      <c r="W28" s="400">
        <v>517.077</v>
      </c>
      <c r="X28" s="406" t="s">
        <v>262</v>
      </c>
      <c r="Z28" s="386">
        <v>23</v>
      </c>
      <c r="AA28" s="357">
        <v>5854</v>
      </c>
      <c r="AB28" s="387" t="s">
        <v>182</v>
      </c>
      <c r="AC28" s="358">
        <v>828.1</v>
      </c>
      <c r="AD28" s="359">
        <v>569.650125</v>
      </c>
      <c r="AE28" s="400">
        <v>517.077</v>
      </c>
      <c r="AF28" s="406" t="s">
        <v>262</v>
      </c>
      <c r="AH28" s="386">
        <v>23</v>
      </c>
      <c r="AI28" s="357">
        <v>5854</v>
      </c>
      <c r="AJ28" s="387" t="s">
        <v>182</v>
      </c>
      <c r="AK28" s="358">
        <v>828.1</v>
      </c>
      <c r="AL28" s="359">
        <v>569.650125</v>
      </c>
      <c r="AM28" s="400">
        <v>517.077</v>
      </c>
      <c r="AN28" s="406" t="s">
        <v>262</v>
      </c>
      <c r="AP28" s="386">
        <v>23</v>
      </c>
      <c r="AQ28" s="544">
        <v>6735</v>
      </c>
      <c r="AR28" s="545" t="s">
        <v>239</v>
      </c>
      <c r="AS28" s="540">
        <v>852.9</v>
      </c>
      <c r="AT28" s="541">
        <v>578.5</v>
      </c>
      <c r="AU28" s="542">
        <v>525.20000000000005</v>
      </c>
      <c r="AV28" s="546"/>
      <c r="AX28" s="386">
        <v>23</v>
      </c>
      <c r="AY28" s="357">
        <v>5854</v>
      </c>
      <c r="AZ28" s="387" t="s">
        <v>182</v>
      </c>
      <c r="BA28" s="358">
        <v>828.1</v>
      </c>
      <c r="BB28" s="359">
        <v>569.650125</v>
      </c>
      <c r="BC28" s="400">
        <v>517.077</v>
      </c>
      <c r="BD28" s="406" t="s">
        <v>262</v>
      </c>
    </row>
    <row r="29" spans="2:56" x14ac:dyDescent="0.2">
      <c r="B29" s="386">
        <v>24</v>
      </c>
      <c r="C29" s="357">
        <v>3387</v>
      </c>
      <c r="D29" s="387" t="s">
        <v>136</v>
      </c>
      <c r="E29" s="358">
        <v>844.95600000000002</v>
      </c>
      <c r="F29" s="359">
        <v>575.806375</v>
      </c>
      <c r="G29" s="400">
        <v>523.06650000000002</v>
      </c>
      <c r="H29" s="406" t="s">
        <v>262</v>
      </c>
      <c r="J29" s="386">
        <v>24</v>
      </c>
      <c r="K29" s="357">
        <v>3387</v>
      </c>
      <c r="L29" s="387" t="s">
        <v>136</v>
      </c>
      <c r="M29" s="358">
        <v>844.95600000000002</v>
      </c>
      <c r="N29" s="359">
        <v>575.806375</v>
      </c>
      <c r="O29" s="400">
        <v>523.06650000000002</v>
      </c>
      <c r="P29" s="406" t="s">
        <v>262</v>
      </c>
      <c r="R29" s="386">
        <v>24</v>
      </c>
      <c r="S29" s="357">
        <v>3387</v>
      </c>
      <c r="T29" s="387" t="s">
        <v>136</v>
      </c>
      <c r="U29" s="358">
        <v>844.95600000000002</v>
      </c>
      <c r="V29" s="359">
        <v>575.806375</v>
      </c>
      <c r="W29" s="400">
        <v>523.06650000000002</v>
      </c>
      <c r="X29" s="406" t="s">
        <v>262</v>
      </c>
      <c r="Z29" s="386">
        <v>24</v>
      </c>
      <c r="AA29" s="357">
        <v>3387</v>
      </c>
      <c r="AB29" s="387" t="s">
        <v>136</v>
      </c>
      <c r="AC29" s="358">
        <v>844.95600000000002</v>
      </c>
      <c r="AD29" s="359">
        <v>575.806375</v>
      </c>
      <c r="AE29" s="400">
        <v>523.06650000000002</v>
      </c>
      <c r="AF29" s="406" t="s">
        <v>262</v>
      </c>
      <c r="AH29" s="386">
        <v>24</v>
      </c>
      <c r="AI29" s="357">
        <v>3387</v>
      </c>
      <c r="AJ29" s="387" t="s">
        <v>136</v>
      </c>
      <c r="AK29" s="358">
        <v>844.95600000000002</v>
      </c>
      <c r="AL29" s="359">
        <v>575.806375</v>
      </c>
      <c r="AM29" s="400">
        <v>523.06650000000002</v>
      </c>
      <c r="AN29" s="406" t="s">
        <v>262</v>
      </c>
      <c r="AP29" s="386">
        <v>24</v>
      </c>
      <c r="AQ29" s="544">
        <v>162</v>
      </c>
      <c r="AR29" s="545" t="s">
        <v>190</v>
      </c>
      <c r="AS29" s="540">
        <v>864.15</v>
      </c>
      <c r="AT29" s="541">
        <v>579.29999999999995</v>
      </c>
      <c r="AU29" s="542">
        <v>522.5</v>
      </c>
      <c r="AV29" s="546"/>
      <c r="AX29" s="386">
        <v>24</v>
      </c>
      <c r="AY29" s="357">
        <v>3387</v>
      </c>
      <c r="AZ29" s="387" t="s">
        <v>136</v>
      </c>
      <c r="BA29" s="358">
        <v>844.95600000000002</v>
      </c>
      <c r="BB29" s="359">
        <v>575.806375</v>
      </c>
      <c r="BC29" s="400">
        <v>523.06650000000002</v>
      </c>
      <c r="BD29" s="406" t="s">
        <v>262</v>
      </c>
    </row>
    <row r="30" spans="2:56" x14ac:dyDescent="0.2">
      <c r="B30" s="386">
        <v>25</v>
      </c>
      <c r="C30" s="357">
        <v>131</v>
      </c>
      <c r="D30" s="387" t="s">
        <v>23</v>
      </c>
      <c r="E30" s="358">
        <v>900.07179410207902</v>
      </c>
      <c r="F30" s="359">
        <v>587.55212564843805</v>
      </c>
      <c r="G30" s="400">
        <v>533.64966543912703</v>
      </c>
      <c r="H30" s="406"/>
      <c r="J30" s="386">
        <v>25</v>
      </c>
      <c r="K30" s="357">
        <v>131</v>
      </c>
      <c r="L30" s="387" t="s">
        <v>23</v>
      </c>
      <c r="M30" s="358">
        <v>900.07179410207902</v>
      </c>
      <c r="N30" s="359">
        <v>587.55212564843805</v>
      </c>
      <c r="O30" s="400">
        <v>533.64966543912703</v>
      </c>
      <c r="P30" s="406"/>
      <c r="R30" s="386">
        <v>25</v>
      </c>
      <c r="S30" s="357">
        <v>131</v>
      </c>
      <c r="T30" s="387" t="s">
        <v>23</v>
      </c>
      <c r="U30" s="358">
        <v>900.07179410207902</v>
      </c>
      <c r="V30" s="359">
        <v>587.55212564843805</v>
      </c>
      <c r="W30" s="400">
        <v>533.64966543912703</v>
      </c>
      <c r="X30" s="406"/>
      <c r="Z30" s="386">
        <v>25</v>
      </c>
      <c r="AA30" s="357">
        <v>131</v>
      </c>
      <c r="AB30" s="387" t="s">
        <v>23</v>
      </c>
      <c r="AC30" s="358">
        <v>900.07179410207902</v>
      </c>
      <c r="AD30" s="359">
        <v>587.55212564843805</v>
      </c>
      <c r="AE30" s="400">
        <v>533.64966543912703</v>
      </c>
      <c r="AF30" s="406"/>
      <c r="AH30" s="386">
        <v>25</v>
      </c>
      <c r="AI30" s="357">
        <v>131</v>
      </c>
      <c r="AJ30" s="387" t="s">
        <v>23</v>
      </c>
      <c r="AK30" s="358">
        <v>900.07179410207902</v>
      </c>
      <c r="AL30" s="359">
        <v>587.55212564843805</v>
      </c>
      <c r="AM30" s="400">
        <v>533.64966543912703</v>
      </c>
      <c r="AN30" s="406"/>
      <c r="AP30" s="386">
        <v>25</v>
      </c>
      <c r="AQ30" s="544">
        <v>6766</v>
      </c>
      <c r="AR30" s="545" t="s">
        <v>31</v>
      </c>
      <c r="AS30" s="540">
        <v>861.33196885072402</v>
      </c>
      <c r="AT30" s="541">
        <v>580.28401809445302</v>
      </c>
      <c r="AU30" s="542">
        <v>522.82691186688703</v>
      </c>
      <c r="AV30" s="546"/>
      <c r="AX30" s="386">
        <v>25</v>
      </c>
      <c r="AY30" s="357">
        <v>131</v>
      </c>
      <c r="AZ30" s="387" t="s">
        <v>23</v>
      </c>
      <c r="BA30" s="358">
        <v>900.07179410207902</v>
      </c>
      <c r="BB30" s="359">
        <v>587.55212564843805</v>
      </c>
      <c r="BC30" s="400">
        <v>533.64966543912703</v>
      </c>
      <c r="BD30" s="406"/>
    </row>
    <row r="31" spans="2:56" x14ac:dyDescent="0.2">
      <c r="B31" s="386">
        <v>26</v>
      </c>
      <c r="C31" s="357">
        <v>4071</v>
      </c>
      <c r="D31" s="387" t="s">
        <v>240</v>
      </c>
      <c r="E31" s="358">
        <v>917.35</v>
      </c>
      <c r="F31" s="359">
        <v>588.32500000000005</v>
      </c>
      <c r="G31" s="400">
        <v>529.04999999999995</v>
      </c>
      <c r="H31" s="406"/>
      <c r="J31" s="386">
        <v>26</v>
      </c>
      <c r="K31" s="357">
        <v>4071</v>
      </c>
      <c r="L31" s="387" t="s">
        <v>240</v>
      </c>
      <c r="M31" s="358">
        <v>917.35</v>
      </c>
      <c r="N31" s="359">
        <v>588.32500000000005</v>
      </c>
      <c r="O31" s="400">
        <v>529.04999999999995</v>
      </c>
      <c r="P31" s="406"/>
      <c r="R31" s="386">
        <v>26</v>
      </c>
      <c r="S31" s="357">
        <v>4071</v>
      </c>
      <c r="T31" s="387" t="s">
        <v>240</v>
      </c>
      <c r="U31" s="358">
        <v>917.35</v>
      </c>
      <c r="V31" s="359">
        <v>588.32500000000005</v>
      </c>
      <c r="W31" s="400">
        <v>529.04999999999995</v>
      </c>
      <c r="X31" s="406"/>
      <c r="Z31" s="386">
        <v>26</v>
      </c>
      <c r="AA31" s="357">
        <v>4071</v>
      </c>
      <c r="AB31" s="387" t="s">
        <v>240</v>
      </c>
      <c r="AC31" s="358">
        <v>917.35</v>
      </c>
      <c r="AD31" s="359">
        <v>588.32500000000005</v>
      </c>
      <c r="AE31" s="400">
        <v>529.04999999999995</v>
      </c>
      <c r="AF31" s="406"/>
      <c r="AH31" s="386">
        <v>26</v>
      </c>
      <c r="AI31" s="357">
        <v>4071</v>
      </c>
      <c r="AJ31" s="387" t="s">
        <v>240</v>
      </c>
      <c r="AK31" s="358">
        <v>917.35</v>
      </c>
      <c r="AL31" s="359">
        <v>588.32500000000005</v>
      </c>
      <c r="AM31" s="400">
        <v>529.04999999999995</v>
      </c>
      <c r="AN31" s="406"/>
      <c r="AP31" s="386">
        <v>26</v>
      </c>
      <c r="AQ31" s="544">
        <v>6858</v>
      </c>
      <c r="AR31" s="545" t="s">
        <v>211</v>
      </c>
      <c r="AS31" s="547">
        <v>854.28842558077099</v>
      </c>
      <c r="AT31" s="548">
        <v>583.61471711132901</v>
      </c>
      <c r="AU31" s="549">
        <v>504.27280893111799</v>
      </c>
      <c r="AV31" s="543" t="s">
        <v>370</v>
      </c>
      <c r="AX31" s="386">
        <v>26</v>
      </c>
      <c r="AY31" s="357">
        <v>4071</v>
      </c>
      <c r="AZ31" s="387" t="s">
        <v>240</v>
      </c>
      <c r="BA31" s="358">
        <v>917.35</v>
      </c>
      <c r="BB31" s="359">
        <v>588.32500000000005</v>
      </c>
      <c r="BC31" s="400">
        <v>529.04999999999995</v>
      </c>
      <c r="BD31" s="406"/>
    </row>
    <row r="32" spans="2:56" x14ac:dyDescent="0.2">
      <c r="B32" s="386">
        <v>27</v>
      </c>
      <c r="C32" s="357">
        <v>5755</v>
      </c>
      <c r="D32" s="387" t="s">
        <v>185</v>
      </c>
      <c r="E32" s="358">
        <v>882.43694695259603</v>
      </c>
      <c r="F32" s="359">
        <v>589.19990993309295</v>
      </c>
      <c r="G32" s="400">
        <v>532.934555873926</v>
      </c>
      <c r="H32" s="406"/>
      <c r="J32" s="386">
        <v>27</v>
      </c>
      <c r="K32" s="357">
        <v>5755</v>
      </c>
      <c r="L32" s="387" t="s">
        <v>185</v>
      </c>
      <c r="M32" s="358">
        <v>882.43694695259603</v>
      </c>
      <c r="N32" s="359">
        <v>589.19990993309295</v>
      </c>
      <c r="O32" s="400">
        <v>532.934555873926</v>
      </c>
      <c r="P32" s="406"/>
      <c r="R32" s="386">
        <v>27</v>
      </c>
      <c r="S32" s="357">
        <v>5755</v>
      </c>
      <c r="T32" s="387" t="s">
        <v>185</v>
      </c>
      <c r="U32" s="358">
        <v>882.43694695259603</v>
      </c>
      <c r="V32" s="359">
        <v>589.19990993309295</v>
      </c>
      <c r="W32" s="400">
        <v>532.934555873926</v>
      </c>
      <c r="X32" s="406"/>
      <c r="Z32" s="386">
        <v>27</v>
      </c>
      <c r="AA32" s="357">
        <v>5755</v>
      </c>
      <c r="AB32" s="387" t="s">
        <v>185</v>
      </c>
      <c r="AC32" s="358">
        <v>882.43694695259603</v>
      </c>
      <c r="AD32" s="359">
        <v>589.19990993309295</v>
      </c>
      <c r="AE32" s="400">
        <v>532.934555873926</v>
      </c>
      <c r="AF32" s="406"/>
      <c r="AH32" s="386">
        <v>27</v>
      </c>
      <c r="AI32" s="357">
        <v>5755</v>
      </c>
      <c r="AJ32" s="387" t="s">
        <v>185</v>
      </c>
      <c r="AK32" s="358">
        <v>882.43694695259603</v>
      </c>
      <c r="AL32" s="359">
        <v>589.19990993309295</v>
      </c>
      <c r="AM32" s="400">
        <v>532.934555873926</v>
      </c>
      <c r="AN32" s="406"/>
      <c r="AP32" s="386">
        <v>27</v>
      </c>
      <c r="AQ32" s="544">
        <v>131</v>
      </c>
      <c r="AR32" s="545" t="s">
        <v>23</v>
      </c>
      <c r="AS32" s="540">
        <v>900.07179410207902</v>
      </c>
      <c r="AT32" s="541">
        <v>587.55212564843805</v>
      </c>
      <c r="AU32" s="542">
        <v>533.64966543912703</v>
      </c>
      <c r="AV32" s="546"/>
      <c r="AX32" s="386">
        <v>27</v>
      </c>
      <c r="AY32" s="357">
        <v>5755</v>
      </c>
      <c r="AZ32" s="387" t="s">
        <v>185</v>
      </c>
      <c r="BA32" s="358">
        <v>882.43694695259603</v>
      </c>
      <c r="BB32" s="359">
        <v>589.19990993309295</v>
      </c>
      <c r="BC32" s="400">
        <v>532.934555873926</v>
      </c>
      <c r="BD32" s="406"/>
    </row>
    <row r="33" spans="2:56" x14ac:dyDescent="0.2">
      <c r="B33" s="386">
        <v>28</v>
      </c>
      <c r="C33" s="357">
        <v>360</v>
      </c>
      <c r="D33" s="387" t="s">
        <v>137</v>
      </c>
      <c r="E33" s="358">
        <v>907.73216602106402</v>
      </c>
      <c r="F33" s="359">
        <v>592.11384558607699</v>
      </c>
      <c r="G33" s="400">
        <v>536.12551468601896</v>
      </c>
      <c r="H33" s="406"/>
      <c r="J33" s="386">
        <v>28</v>
      </c>
      <c r="K33" s="357">
        <v>360</v>
      </c>
      <c r="L33" s="387" t="s">
        <v>137</v>
      </c>
      <c r="M33" s="358">
        <v>907.73216602106402</v>
      </c>
      <c r="N33" s="359">
        <v>592.11384558607699</v>
      </c>
      <c r="O33" s="400">
        <v>536.12551468601896</v>
      </c>
      <c r="P33" s="406"/>
      <c r="R33" s="386">
        <v>28</v>
      </c>
      <c r="S33" s="357">
        <v>360</v>
      </c>
      <c r="T33" s="387" t="s">
        <v>137</v>
      </c>
      <c r="U33" s="358">
        <v>907.73216602106402</v>
      </c>
      <c r="V33" s="359">
        <v>592.11384558607699</v>
      </c>
      <c r="W33" s="400">
        <v>536.12551468601896</v>
      </c>
      <c r="X33" s="406"/>
      <c r="Z33" s="386">
        <v>28</v>
      </c>
      <c r="AA33" s="357">
        <v>360</v>
      </c>
      <c r="AB33" s="387" t="s">
        <v>137</v>
      </c>
      <c r="AC33" s="358">
        <v>907.73216602106402</v>
      </c>
      <c r="AD33" s="359">
        <v>592.11384558607699</v>
      </c>
      <c r="AE33" s="400">
        <v>536.12551468601896</v>
      </c>
      <c r="AF33" s="406"/>
      <c r="AH33" s="386">
        <v>28</v>
      </c>
      <c r="AI33" s="357">
        <v>360</v>
      </c>
      <c r="AJ33" s="387" t="s">
        <v>137</v>
      </c>
      <c r="AK33" s="358">
        <v>907.73216602106402</v>
      </c>
      <c r="AL33" s="359">
        <v>592.11384558607699</v>
      </c>
      <c r="AM33" s="400">
        <v>536.12551468601896</v>
      </c>
      <c r="AN33" s="406"/>
      <c r="AP33" s="386">
        <v>28</v>
      </c>
      <c r="AQ33" s="544">
        <v>4071</v>
      </c>
      <c r="AR33" s="545" t="s">
        <v>240</v>
      </c>
      <c r="AS33" s="540">
        <v>917.35</v>
      </c>
      <c r="AT33" s="541">
        <v>588.32500000000005</v>
      </c>
      <c r="AU33" s="542">
        <v>529.04999999999995</v>
      </c>
      <c r="AV33" s="546"/>
      <c r="AX33" s="386">
        <v>28</v>
      </c>
      <c r="AY33" s="357">
        <v>360</v>
      </c>
      <c r="AZ33" s="387" t="s">
        <v>137</v>
      </c>
      <c r="BA33" s="358">
        <v>907.73216602106402</v>
      </c>
      <c r="BB33" s="359">
        <v>592.11384558607699</v>
      </c>
      <c r="BC33" s="400">
        <v>536.12551468601896</v>
      </c>
      <c r="BD33" s="406"/>
    </row>
    <row r="34" spans="2:56" x14ac:dyDescent="0.2">
      <c r="B34" s="386">
        <v>29</v>
      </c>
      <c r="C34" s="357">
        <v>164</v>
      </c>
      <c r="D34" s="387" t="s">
        <v>24</v>
      </c>
      <c r="E34" s="358">
        <v>910.28100638933802</v>
      </c>
      <c r="F34" s="359">
        <v>592.11610280984598</v>
      </c>
      <c r="G34" s="400">
        <v>538.26246838726399</v>
      </c>
      <c r="H34" s="406"/>
      <c r="J34" s="386">
        <v>29</v>
      </c>
      <c r="K34" s="357">
        <v>164</v>
      </c>
      <c r="L34" s="387" t="s">
        <v>24</v>
      </c>
      <c r="M34" s="358">
        <v>910.28100638933802</v>
      </c>
      <c r="N34" s="359">
        <v>592.11610280984598</v>
      </c>
      <c r="O34" s="400">
        <v>538.26246838726399</v>
      </c>
      <c r="P34" s="406"/>
      <c r="R34" s="386">
        <v>29</v>
      </c>
      <c r="S34" s="357">
        <v>164</v>
      </c>
      <c r="T34" s="387" t="s">
        <v>24</v>
      </c>
      <c r="U34" s="358">
        <v>910.28100638933802</v>
      </c>
      <c r="V34" s="359">
        <v>592.11610280984598</v>
      </c>
      <c r="W34" s="400">
        <v>538.26246838726399</v>
      </c>
      <c r="X34" s="406"/>
      <c r="Z34" s="386">
        <v>29</v>
      </c>
      <c r="AA34" s="357">
        <v>164</v>
      </c>
      <c r="AB34" s="387" t="s">
        <v>24</v>
      </c>
      <c r="AC34" s="358">
        <v>910.28100638933802</v>
      </c>
      <c r="AD34" s="359">
        <v>592.11610280984598</v>
      </c>
      <c r="AE34" s="400">
        <v>538.26246838726399</v>
      </c>
      <c r="AF34" s="406"/>
      <c r="AH34" s="386">
        <v>29</v>
      </c>
      <c r="AI34" s="357">
        <v>164</v>
      </c>
      <c r="AJ34" s="387" t="s">
        <v>24</v>
      </c>
      <c r="AK34" s="358">
        <v>910.28100638933802</v>
      </c>
      <c r="AL34" s="359">
        <v>592.11610280984598</v>
      </c>
      <c r="AM34" s="400">
        <v>538.26246838726399</v>
      </c>
      <c r="AN34" s="406"/>
      <c r="AP34" s="386">
        <v>29</v>
      </c>
      <c r="AQ34" s="544">
        <v>360</v>
      </c>
      <c r="AR34" s="545" t="s">
        <v>137</v>
      </c>
      <c r="AS34" s="540">
        <v>907.73216602106402</v>
      </c>
      <c r="AT34" s="541">
        <v>592.11384558607699</v>
      </c>
      <c r="AU34" s="542">
        <v>536.12551468601896</v>
      </c>
      <c r="AV34" s="546"/>
      <c r="AX34" s="386">
        <v>29</v>
      </c>
      <c r="AY34" s="357">
        <v>164</v>
      </c>
      <c r="AZ34" s="387" t="s">
        <v>24</v>
      </c>
      <c r="BA34" s="358">
        <v>910.28100638933802</v>
      </c>
      <c r="BB34" s="359">
        <v>592.11610280984598</v>
      </c>
      <c r="BC34" s="400">
        <v>538.26246838726399</v>
      </c>
      <c r="BD34" s="406"/>
    </row>
    <row r="35" spans="2:56" x14ac:dyDescent="0.2">
      <c r="B35" s="386">
        <v>30</v>
      </c>
      <c r="C35" s="357">
        <v>6858</v>
      </c>
      <c r="D35" s="387" t="s">
        <v>211</v>
      </c>
      <c r="E35" s="358">
        <v>854.28842558077099</v>
      </c>
      <c r="F35" s="359">
        <v>583.61471711132901</v>
      </c>
      <c r="G35" s="400">
        <v>504.27280893111799</v>
      </c>
      <c r="H35" s="406" t="s">
        <v>262</v>
      </c>
      <c r="J35" s="386">
        <v>30</v>
      </c>
      <c r="K35" s="357">
        <v>6858</v>
      </c>
      <c r="L35" s="387" t="s">
        <v>211</v>
      </c>
      <c r="M35" s="358">
        <v>854.28842558077099</v>
      </c>
      <c r="N35" s="359">
        <v>583.61471711132901</v>
      </c>
      <c r="O35" s="400">
        <v>504.27280893111799</v>
      </c>
      <c r="P35" s="406" t="s">
        <v>262</v>
      </c>
      <c r="R35" s="386">
        <v>30</v>
      </c>
      <c r="S35" s="357">
        <v>6858</v>
      </c>
      <c r="T35" s="387" t="s">
        <v>211</v>
      </c>
      <c r="U35" s="358">
        <v>854.28842558077099</v>
      </c>
      <c r="V35" s="359">
        <v>583.61471711132901</v>
      </c>
      <c r="W35" s="400">
        <v>504.27280893111799</v>
      </c>
      <c r="X35" s="406" t="s">
        <v>262</v>
      </c>
      <c r="Z35" s="386">
        <v>30</v>
      </c>
      <c r="AA35" s="357">
        <v>6858</v>
      </c>
      <c r="AB35" s="387" t="s">
        <v>211</v>
      </c>
      <c r="AC35" s="358">
        <v>854.28842558077099</v>
      </c>
      <c r="AD35" s="359">
        <v>583.61471711132901</v>
      </c>
      <c r="AE35" s="400">
        <v>504.27280893111799</v>
      </c>
      <c r="AF35" s="406" t="s">
        <v>262</v>
      </c>
      <c r="AH35" s="386">
        <v>30</v>
      </c>
      <c r="AI35" s="357">
        <v>6858</v>
      </c>
      <c r="AJ35" s="387" t="s">
        <v>211</v>
      </c>
      <c r="AK35" s="358">
        <v>854.28842558077099</v>
      </c>
      <c r="AL35" s="359">
        <v>583.61471711132901</v>
      </c>
      <c r="AM35" s="400">
        <v>504.27280893111799</v>
      </c>
      <c r="AN35" s="406" t="s">
        <v>262</v>
      </c>
      <c r="AP35" s="386">
        <v>30</v>
      </c>
      <c r="AQ35" s="544">
        <v>164</v>
      </c>
      <c r="AR35" s="545" t="s">
        <v>24</v>
      </c>
      <c r="AS35" s="540">
        <v>910.28100638933802</v>
      </c>
      <c r="AT35" s="541">
        <v>592.11610280984598</v>
      </c>
      <c r="AU35" s="542">
        <v>538.26246838726399</v>
      </c>
      <c r="AV35" s="546"/>
      <c r="AX35" s="386">
        <v>30</v>
      </c>
      <c r="AY35" s="357">
        <v>6858</v>
      </c>
      <c r="AZ35" s="387" t="s">
        <v>211</v>
      </c>
      <c r="BA35" s="358">
        <v>854.28842558077099</v>
      </c>
      <c r="BB35" s="359">
        <v>583.61471711132901</v>
      </c>
      <c r="BC35" s="400">
        <v>504.27280893111799</v>
      </c>
      <c r="BD35" s="406" t="s">
        <v>262</v>
      </c>
    </row>
    <row r="36" spans="2:56" x14ac:dyDescent="0.2">
      <c r="B36" s="386">
        <v>31</v>
      </c>
      <c r="C36" s="357">
        <v>312</v>
      </c>
      <c r="D36" s="387" t="s">
        <v>26</v>
      </c>
      <c r="E36" s="358">
        <v>895.25</v>
      </c>
      <c r="F36" s="359">
        <v>594.27499999999998</v>
      </c>
      <c r="G36" s="400">
        <v>540.29999999999995</v>
      </c>
      <c r="H36" s="406"/>
      <c r="J36" s="386">
        <v>31</v>
      </c>
      <c r="K36" s="357">
        <v>312</v>
      </c>
      <c r="L36" s="387" t="s">
        <v>26</v>
      </c>
      <c r="M36" s="358">
        <v>895.25</v>
      </c>
      <c r="N36" s="359">
        <v>594.27499999999998</v>
      </c>
      <c r="O36" s="400">
        <v>540.29999999999995</v>
      </c>
      <c r="P36" s="406"/>
      <c r="R36" s="386">
        <v>31</v>
      </c>
      <c r="S36" s="357">
        <v>312</v>
      </c>
      <c r="T36" s="387" t="s">
        <v>26</v>
      </c>
      <c r="U36" s="358">
        <v>895.25</v>
      </c>
      <c r="V36" s="359">
        <v>594.27499999999998</v>
      </c>
      <c r="W36" s="400">
        <v>540.29999999999995</v>
      </c>
      <c r="X36" s="406"/>
      <c r="Z36" s="386">
        <v>31</v>
      </c>
      <c r="AA36" s="357">
        <v>312</v>
      </c>
      <c r="AB36" s="387" t="s">
        <v>26</v>
      </c>
      <c r="AC36" s="358">
        <v>895.25</v>
      </c>
      <c r="AD36" s="359">
        <v>594.27499999999998</v>
      </c>
      <c r="AE36" s="400">
        <v>540.29999999999995</v>
      </c>
      <c r="AF36" s="406"/>
      <c r="AH36" s="386">
        <v>31</v>
      </c>
      <c r="AI36" s="357">
        <v>312</v>
      </c>
      <c r="AJ36" s="387" t="s">
        <v>26</v>
      </c>
      <c r="AK36" s="358">
        <v>895.25</v>
      </c>
      <c r="AL36" s="359">
        <v>594.27499999999998</v>
      </c>
      <c r="AM36" s="400">
        <v>540.29999999999995</v>
      </c>
      <c r="AN36" s="406"/>
      <c r="AP36" s="386">
        <v>31</v>
      </c>
      <c r="AQ36" s="544">
        <v>312</v>
      </c>
      <c r="AR36" s="545" t="s">
        <v>26</v>
      </c>
      <c r="AS36" s="540">
        <v>895.25</v>
      </c>
      <c r="AT36" s="541">
        <v>594.27499999999998</v>
      </c>
      <c r="AU36" s="542">
        <v>540.29999999999995</v>
      </c>
      <c r="AV36" s="546"/>
      <c r="AX36" s="386">
        <v>31</v>
      </c>
      <c r="AY36" s="357">
        <v>312</v>
      </c>
      <c r="AZ36" s="387" t="s">
        <v>26</v>
      </c>
      <c r="BA36" s="358">
        <v>895.25</v>
      </c>
      <c r="BB36" s="359">
        <v>594.27499999999998</v>
      </c>
      <c r="BC36" s="400">
        <v>540.29999999999995</v>
      </c>
      <c r="BD36" s="406"/>
    </row>
    <row r="37" spans="2:56" x14ac:dyDescent="0.2">
      <c r="B37" s="386">
        <v>32</v>
      </c>
      <c r="C37" s="357">
        <v>1611</v>
      </c>
      <c r="D37" s="387" t="s">
        <v>226</v>
      </c>
      <c r="E37" s="358">
        <v>921.65</v>
      </c>
      <c r="F37" s="359">
        <v>594.45000000000005</v>
      </c>
      <c r="G37" s="400">
        <v>540.29999999999995</v>
      </c>
      <c r="H37" s="406"/>
      <c r="J37" s="386">
        <v>32</v>
      </c>
      <c r="K37" s="357">
        <v>1611</v>
      </c>
      <c r="L37" s="387" t="s">
        <v>226</v>
      </c>
      <c r="M37" s="358">
        <v>921.65</v>
      </c>
      <c r="N37" s="359">
        <v>594.45000000000005</v>
      </c>
      <c r="O37" s="400">
        <v>540.29999999999995</v>
      </c>
      <c r="P37" s="406"/>
      <c r="R37" s="386">
        <v>32</v>
      </c>
      <c r="S37" s="357">
        <v>1611</v>
      </c>
      <c r="T37" s="387" t="s">
        <v>226</v>
      </c>
      <c r="U37" s="358">
        <v>921.65</v>
      </c>
      <c r="V37" s="359">
        <v>594.45000000000005</v>
      </c>
      <c r="W37" s="400">
        <v>540.29999999999995</v>
      </c>
      <c r="X37" s="406"/>
      <c r="Z37" s="386">
        <v>32</v>
      </c>
      <c r="AA37" s="357">
        <v>1611</v>
      </c>
      <c r="AB37" s="387" t="s">
        <v>226</v>
      </c>
      <c r="AC37" s="358">
        <v>921.65</v>
      </c>
      <c r="AD37" s="359">
        <v>594.45000000000005</v>
      </c>
      <c r="AE37" s="400">
        <v>540.29999999999995</v>
      </c>
      <c r="AF37" s="406"/>
      <c r="AH37" s="386">
        <v>32</v>
      </c>
      <c r="AI37" s="357">
        <v>1611</v>
      </c>
      <c r="AJ37" s="387" t="s">
        <v>226</v>
      </c>
      <c r="AK37" s="358">
        <v>921.65</v>
      </c>
      <c r="AL37" s="359">
        <v>594.45000000000005</v>
      </c>
      <c r="AM37" s="400">
        <v>540.29999999999995</v>
      </c>
      <c r="AN37" s="406"/>
      <c r="AP37" s="386">
        <v>32</v>
      </c>
      <c r="AQ37" s="544">
        <v>1611</v>
      </c>
      <c r="AR37" s="545" t="s">
        <v>226</v>
      </c>
      <c r="AS37" s="540">
        <v>921.65</v>
      </c>
      <c r="AT37" s="541">
        <v>594.45000000000005</v>
      </c>
      <c r="AU37" s="542">
        <v>540.29999999999995</v>
      </c>
      <c r="AV37" s="546"/>
      <c r="AX37" s="386">
        <v>32</v>
      </c>
      <c r="AY37" s="357">
        <v>1611</v>
      </c>
      <c r="AZ37" s="387" t="s">
        <v>226</v>
      </c>
      <c r="BA37" s="358">
        <v>921.65</v>
      </c>
      <c r="BB37" s="359">
        <v>594.45000000000005</v>
      </c>
      <c r="BC37" s="400">
        <v>540.29999999999995</v>
      </c>
      <c r="BD37" s="406"/>
    </row>
    <row r="38" spans="2:56" x14ac:dyDescent="0.2">
      <c r="B38" s="386">
        <v>33</v>
      </c>
      <c r="C38" s="357">
        <v>5537</v>
      </c>
      <c r="D38" s="387" t="s">
        <v>256</v>
      </c>
      <c r="E38" s="358">
        <v>896.05</v>
      </c>
      <c r="F38" s="359">
        <v>595.70000000000005</v>
      </c>
      <c r="G38" s="400">
        <v>538.6</v>
      </c>
      <c r="H38" s="406"/>
      <c r="J38" s="386">
        <v>33</v>
      </c>
      <c r="K38" s="357">
        <v>5537</v>
      </c>
      <c r="L38" s="387" t="s">
        <v>256</v>
      </c>
      <c r="M38" s="358">
        <v>896.05</v>
      </c>
      <c r="N38" s="359">
        <v>595.70000000000005</v>
      </c>
      <c r="O38" s="400">
        <v>538.6</v>
      </c>
      <c r="P38" s="406"/>
      <c r="R38" s="386">
        <v>33</v>
      </c>
      <c r="S38" s="357">
        <v>5537</v>
      </c>
      <c r="T38" s="387" t="s">
        <v>256</v>
      </c>
      <c r="U38" s="358">
        <v>896.05</v>
      </c>
      <c r="V38" s="359">
        <v>595.70000000000005</v>
      </c>
      <c r="W38" s="400">
        <v>538.6</v>
      </c>
      <c r="X38" s="406"/>
      <c r="Z38" s="386">
        <v>33</v>
      </c>
      <c r="AA38" s="357">
        <v>5537</v>
      </c>
      <c r="AB38" s="387" t="s">
        <v>256</v>
      </c>
      <c r="AC38" s="358">
        <v>896.05</v>
      </c>
      <c r="AD38" s="359">
        <v>595.70000000000005</v>
      </c>
      <c r="AE38" s="400">
        <v>538.6</v>
      </c>
      <c r="AF38" s="406"/>
      <c r="AH38" s="386">
        <v>33</v>
      </c>
      <c r="AI38" s="357">
        <v>5537</v>
      </c>
      <c r="AJ38" s="387" t="s">
        <v>256</v>
      </c>
      <c r="AK38" s="358">
        <v>896.05</v>
      </c>
      <c r="AL38" s="359">
        <v>595.70000000000005</v>
      </c>
      <c r="AM38" s="400">
        <v>538.6</v>
      </c>
      <c r="AN38" s="406"/>
      <c r="AP38" s="386">
        <v>33</v>
      </c>
      <c r="AQ38" s="544">
        <v>5537</v>
      </c>
      <c r="AR38" s="545" t="s">
        <v>256</v>
      </c>
      <c r="AS38" s="540">
        <v>896.05</v>
      </c>
      <c r="AT38" s="541">
        <v>595.70000000000005</v>
      </c>
      <c r="AU38" s="542">
        <v>538.6</v>
      </c>
      <c r="AV38" s="546"/>
      <c r="AX38" s="386">
        <v>33</v>
      </c>
      <c r="AY38" s="357">
        <v>5537</v>
      </c>
      <c r="AZ38" s="387" t="s">
        <v>256</v>
      </c>
      <c r="BA38" s="358">
        <v>896.05</v>
      </c>
      <c r="BB38" s="359">
        <v>595.70000000000005</v>
      </c>
      <c r="BC38" s="400">
        <v>538.6</v>
      </c>
      <c r="BD38" s="406"/>
    </row>
    <row r="39" spans="2:56" x14ac:dyDescent="0.2">
      <c r="B39" s="386">
        <v>34</v>
      </c>
      <c r="C39" s="357">
        <v>5275</v>
      </c>
      <c r="D39" s="387" t="s">
        <v>231</v>
      </c>
      <c r="E39" s="358">
        <v>943.75</v>
      </c>
      <c r="F39" s="359">
        <v>596.57500000000005</v>
      </c>
      <c r="G39" s="400">
        <v>537.4</v>
      </c>
      <c r="H39" s="406"/>
      <c r="J39" s="386">
        <v>34</v>
      </c>
      <c r="K39" s="357">
        <v>5275</v>
      </c>
      <c r="L39" s="387" t="s">
        <v>231</v>
      </c>
      <c r="M39" s="358">
        <v>943.75</v>
      </c>
      <c r="N39" s="359">
        <v>596.57500000000005</v>
      </c>
      <c r="O39" s="400">
        <v>537.4</v>
      </c>
      <c r="P39" s="406"/>
      <c r="R39" s="386">
        <v>34</v>
      </c>
      <c r="S39" s="357">
        <v>5275</v>
      </c>
      <c r="T39" s="387" t="s">
        <v>231</v>
      </c>
      <c r="U39" s="358">
        <v>943.75</v>
      </c>
      <c r="V39" s="359">
        <v>596.57500000000005</v>
      </c>
      <c r="W39" s="400">
        <v>537.4</v>
      </c>
      <c r="X39" s="406"/>
      <c r="Z39" s="386">
        <v>34</v>
      </c>
      <c r="AA39" s="357">
        <v>5275</v>
      </c>
      <c r="AB39" s="387" t="s">
        <v>231</v>
      </c>
      <c r="AC39" s="358">
        <v>943.75</v>
      </c>
      <c r="AD39" s="359">
        <v>596.57500000000005</v>
      </c>
      <c r="AE39" s="400">
        <v>537.4</v>
      </c>
      <c r="AF39" s="406"/>
      <c r="AH39" s="386">
        <v>34</v>
      </c>
      <c r="AI39" s="357">
        <v>5275</v>
      </c>
      <c r="AJ39" s="387" t="s">
        <v>231</v>
      </c>
      <c r="AK39" s="358">
        <v>943.75</v>
      </c>
      <c r="AL39" s="359">
        <v>596.57500000000005</v>
      </c>
      <c r="AM39" s="400">
        <v>537.4</v>
      </c>
      <c r="AN39" s="406"/>
      <c r="AP39" s="386">
        <v>34</v>
      </c>
      <c r="AQ39" s="557">
        <v>5275</v>
      </c>
      <c r="AR39" s="545" t="s">
        <v>231</v>
      </c>
      <c r="AS39" s="540">
        <v>943.75</v>
      </c>
      <c r="AT39" s="541">
        <v>596.57500000000005</v>
      </c>
      <c r="AU39" s="542">
        <v>537.4</v>
      </c>
      <c r="AV39" s="546"/>
      <c r="AX39" s="386">
        <v>34</v>
      </c>
      <c r="AY39" s="357">
        <v>5275</v>
      </c>
      <c r="AZ39" s="387" t="s">
        <v>231</v>
      </c>
      <c r="BA39" s="358">
        <v>943.75</v>
      </c>
      <c r="BB39" s="359">
        <v>596.57500000000005</v>
      </c>
      <c r="BC39" s="400">
        <v>537.4</v>
      </c>
      <c r="BD39" s="406"/>
    </row>
    <row r="40" spans="2:56" x14ac:dyDescent="0.2">
      <c r="B40" s="386">
        <v>35</v>
      </c>
      <c r="C40" s="357">
        <v>4832</v>
      </c>
      <c r="D40" s="387" t="s">
        <v>138</v>
      </c>
      <c r="E40" s="358">
        <v>880.55</v>
      </c>
      <c r="F40" s="359">
        <v>600.82500000000005</v>
      </c>
      <c r="G40" s="400">
        <v>546.65</v>
      </c>
      <c r="H40" s="406"/>
      <c r="J40" s="386">
        <v>35</v>
      </c>
      <c r="K40" s="357">
        <v>4832</v>
      </c>
      <c r="L40" s="387" t="s">
        <v>138</v>
      </c>
      <c r="M40" s="358">
        <v>880.55</v>
      </c>
      <c r="N40" s="359">
        <v>600.82500000000005</v>
      </c>
      <c r="O40" s="400">
        <v>546.65</v>
      </c>
      <c r="P40" s="406"/>
      <c r="R40" s="386">
        <v>35</v>
      </c>
      <c r="S40" s="357">
        <v>4832</v>
      </c>
      <c r="T40" s="387" t="s">
        <v>138</v>
      </c>
      <c r="U40" s="358">
        <v>880.55</v>
      </c>
      <c r="V40" s="359">
        <v>600.82500000000005</v>
      </c>
      <c r="W40" s="400">
        <v>546.65</v>
      </c>
      <c r="X40" s="406"/>
      <c r="Z40" s="386">
        <v>35</v>
      </c>
      <c r="AA40" s="357">
        <v>4832</v>
      </c>
      <c r="AB40" s="387" t="s">
        <v>138</v>
      </c>
      <c r="AC40" s="358">
        <v>880.55</v>
      </c>
      <c r="AD40" s="359">
        <v>600.82500000000005</v>
      </c>
      <c r="AE40" s="400">
        <v>546.65</v>
      </c>
      <c r="AF40" s="406"/>
      <c r="AH40" s="386">
        <v>35</v>
      </c>
      <c r="AI40" s="357">
        <v>4832</v>
      </c>
      <c r="AJ40" s="387" t="s">
        <v>138</v>
      </c>
      <c r="AK40" s="358">
        <v>880.55</v>
      </c>
      <c r="AL40" s="359">
        <v>600.82500000000005</v>
      </c>
      <c r="AM40" s="400">
        <v>546.65</v>
      </c>
      <c r="AN40" s="406"/>
      <c r="AP40" s="386">
        <v>35</v>
      </c>
      <c r="AQ40" s="544">
        <v>4832</v>
      </c>
      <c r="AR40" s="545" t="s">
        <v>138</v>
      </c>
      <c r="AS40" s="540">
        <v>880.55</v>
      </c>
      <c r="AT40" s="541">
        <v>600.82500000000005</v>
      </c>
      <c r="AU40" s="542">
        <v>546.65</v>
      </c>
      <c r="AV40" s="546"/>
      <c r="AX40" s="386">
        <v>35</v>
      </c>
      <c r="AY40" s="357">
        <v>4832</v>
      </c>
      <c r="AZ40" s="387" t="s">
        <v>138</v>
      </c>
      <c r="BA40" s="358">
        <v>880.55</v>
      </c>
      <c r="BB40" s="359">
        <v>600.82500000000005</v>
      </c>
      <c r="BC40" s="400">
        <v>546.65</v>
      </c>
      <c r="BD40" s="406"/>
    </row>
    <row r="41" spans="2:56" x14ac:dyDescent="0.2">
      <c r="B41" s="386">
        <v>36</v>
      </c>
      <c r="C41" s="357">
        <v>4020</v>
      </c>
      <c r="D41" s="387" t="s">
        <v>241</v>
      </c>
      <c r="E41" s="358">
        <v>886.2</v>
      </c>
      <c r="F41" s="359">
        <v>607.75</v>
      </c>
      <c r="G41" s="400">
        <v>555.15</v>
      </c>
      <c r="H41" s="406"/>
      <c r="J41" s="386">
        <v>36</v>
      </c>
      <c r="K41" s="357">
        <v>4020</v>
      </c>
      <c r="L41" s="387" t="s">
        <v>241</v>
      </c>
      <c r="M41" s="358">
        <v>886.2</v>
      </c>
      <c r="N41" s="359">
        <v>607.75</v>
      </c>
      <c r="O41" s="400">
        <v>555.15</v>
      </c>
      <c r="P41" s="406"/>
      <c r="R41" s="386">
        <v>36</v>
      </c>
      <c r="S41" s="357">
        <v>4020</v>
      </c>
      <c r="T41" s="387" t="s">
        <v>241</v>
      </c>
      <c r="U41" s="358">
        <v>886.2</v>
      </c>
      <c r="V41" s="359">
        <v>607.75</v>
      </c>
      <c r="W41" s="400">
        <v>555.15</v>
      </c>
      <c r="X41" s="406"/>
      <c r="Z41" s="386">
        <v>36</v>
      </c>
      <c r="AA41" s="357">
        <v>4020</v>
      </c>
      <c r="AB41" s="387" t="s">
        <v>241</v>
      </c>
      <c r="AC41" s="358">
        <v>886.2</v>
      </c>
      <c r="AD41" s="359">
        <v>607.75</v>
      </c>
      <c r="AE41" s="400">
        <v>555.15</v>
      </c>
      <c r="AF41" s="406"/>
      <c r="AH41" s="386">
        <v>36</v>
      </c>
      <c r="AI41" s="357">
        <v>4020</v>
      </c>
      <c r="AJ41" s="387" t="s">
        <v>241</v>
      </c>
      <c r="AK41" s="358">
        <v>886.2</v>
      </c>
      <c r="AL41" s="359">
        <v>607.75</v>
      </c>
      <c r="AM41" s="400">
        <v>555.15</v>
      </c>
      <c r="AN41" s="406"/>
      <c r="AP41" s="386">
        <v>36</v>
      </c>
      <c r="AQ41" s="544">
        <v>7177</v>
      </c>
      <c r="AR41" s="545" t="s">
        <v>257</v>
      </c>
      <c r="AS41" s="540">
        <v>920.75</v>
      </c>
      <c r="AT41" s="541">
        <v>603.625</v>
      </c>
      <c r="AU41" s="542">
        <v>547.9</v>
      </c>
      <c r="AV41" s="546"/>
      <c r="AX41" s="386">
        <v>36</v>
      </c>
      <c r="AY41" s="357">
        <v>4020</v>
      </c>
      <c r="AZ41" s="387" t="s">
        <v>241</v>
      </c>
      <c r="BA41" s="358">
        <v>886.2</v>
      </c>
      <c r="BB41" s="359">
        <v>607.75</v>
      </c>
      <c r="BC41" s="400">
        <v>555.15</v>
      </c>
      <c r="BD41" s="406"/>
    </row>
    <row r="42" spans="2:56" x14ac:dyDescent="0.2">
      <c r="B42" s="386">
        <v>37</v>
      </c>
      <c r="C42" s="357">
        <v>7177</v>
      </c>
      <c r="D42" s="387" t="s">
        <v>257</v>
      </c>
      <c r="E42" s="358">
        <v>932.45</v>
      </c>
      <c r="F42" s="359">
        <v>608.85</v>
      </c>
      <c r="G42" s="400">
        <v>550.20000000000005</v>
      </c>
      <c r="H42" s="406"/>
      <c r="J42" s="386">
        <v>37</v>
      </c>
      <c r="K42" s="357">
        <v>7177</v>
      </c>
      <c r="L42" s="387" t="s">
        <v>257</v>
      </c>
      <c r="M42" s="358">
        <v>932.45</v>
      </c>
      <c r="N42" s="359">
        <v>608.85</v>
      </c>
      <c r="O42" s="400">
        <v>550.20000000000005</v>
      </c>
      <c r="P42" s="406"/>
      <c r="R42" s="386">
        <v>37</v>
      </c>
      <c r="S42" s="357">
        <v>7177</v>
      </c>
      <c r="T42" s="387" t="s">
        <v>257</v>
      </c>
      <c r="U42" s="358">
        <v>932.45</v>
      </c>
      <c r="V42" s="359">
        <v>608.85</v>
      </c>
      <c r="W42" s="400">
        <v>550.20000000000005</v>
      </c>
      <c r="X42" s="406"/>
      <c r="Z42" s="386">
        <v>37</v>
      </c>
      <c r="AA42" s="357">
        <v>7177</v>
      </c>
      <c r="AB42" s="387" t="s">
        <v>257</v>
      </c>
      <c r="AC42" s="358">
        <v>932.45</v>
      </c>
      <c r="AD42" s="359">
        <v>608.85</v>
      </c>
      <c r="AE42" s="400">
        <v>550.20000000000005</v>
      </c>
      <c r="AF42" s="406"/>
      <c r="AH42" s="386">
        <v>37</v>
      </c>
      <c r="AI42" s="357">
        <v>7177</v>
      </c>
      <c r="AJ42" s="387" t="s">
        <v>257</v>
      </c>
      <c r="AK42" s="358">
        <v>932.45</v>
      </c>
      <c r="AL42" s="359">
        <v>608.85</v>
      </c>
      <c r="AM42" s="400">
        <v>550.20000000000005</v>
      </c>
      <c r="AN42" s="406"/>
      <c r="AP42" s="386">
        <v>37</v>
      </c>
      <c r="AQ42" s="544">
        <v>4020</v>
      </c>
      <c r="AR42" s="545" t="s">
        <v>241</v>
      </c>
      <c r="AS42" s="540">
        <v>886.2</v>
      </c>
      <c r="AT42" s="541">
        <v>607.75</v>
      </c>
      <c r="AU42" s="542">
        <v>555.15</v>
      </c>
      <c r="AV42" s="546"/>
      <c r="AX42" s="386">
        <v>37</v>
      </c>
      <c r="AY42" s="357">
        <v>7177</v>
      </c>
      <c r="AZ42" s="387" t="s">
        <v>257</v>
      </c>
      <c r="BA42" s="358">
        <v>932.45</v>
      </c>
      <c r="BB42" s="359">
        <v>608.85</v>
      </c>
      <c r="BC42" s="400">
        <v>550.20000000000005</v>
      </c>
      <c r="BD42" s="406"/>
    </row>
    <row r="43" spans="2:56" x14ac:dyDescent="0.2">
      <c r="B43" s="386">
        <v>38</v>
      </c>
      <c r="C43" s="357">
        <v>7014</v>
      </c>
      <c r="D43" s="387" t="s">
        <v>242</v>
      </c>
      <c r="E43" s="358">
        <v>993.75</v>
      </c>
      <c r="F43" s="359">
        <v>624.47500000000002</v>
      </c>
      <c r="G43" s="400">
        <v>555.95000000000005</v>
      </c>
      <c r="H43" s="406"/>
      <c r="J43" s="386">
        <v>38</v>
      </c>
      <c r="K43" s="357">
        <v>7014</v>
      </c>
      <c r="L43" s="387" t="s">
        <v>242</v>
      </c>
      <c r="M43" s="358">
        <v>993.75</v>
      </c>
      <c r="N43" s="359">
        <v>624.47500000000002</v>
      </c>
      <c r="O43" s="400">
        <v>555.95000000000005</v>
      </c>
      <c r="P43" s="406"/>
      <c r="R43" s="386">
        <v>38</v>
      </c>
      <c r="S43" s="357">
        <v>7014</v>
      </c>
      <c r="T43" s="387" t="s">
        <v>242</v>
      </c>
      <c r="U43" s="358">
        <v>993.75</v>
      </c>
      <c r="V43" s="359">
        <v>624.47500000000002</v>
      </c>
      <c r="W43" s="400">
        <v>555.95000000000005</v>
      </c>
      <c r="X43" s="406"/>
      <c r="Z43" s="386">
        <v>38</v>
      </c>
      <c r="AA43" s="357">
        <v>7014</v>
      </c>
      <c r="AB43" s="387" t="s">
        <v>242</v>
      </c>
      <c r="AC43" s="358">
        <v>993.75</v>
      </c>
      <c r="AD43" s="359">
        <v>624.47500000000002</v>
      </c>
      <c r="AE43" s="400">
        <v>555.95000000000005</v>
      </c>
      <c r="AF43" s="406"/>
      <c r="AH43" s="386">
        <v>38</v>
      </c>
      <c r="AI43" s="357">
        <v>7014</v>
      </c>
      <c r="AJ43" s="387" t="s">
        <v>242</v>
      </c>
      <c r="AK43" s="358">
        <v>993.75</v>
      </c>
      <c r="AL43" s="359">
        <v>624.47500000000002</v>
      </c>
      <c r="AM43" s="400">
        <v>555.95000000000005</v>
      </c>
      <c r="AN43" s="406"/>
      <c r="AP43" s="386">
        <v>38</v>
      </c>
      <c r="AQ43" s="544">
        <v>6756</v>
      </c>
      <c r="AR43" s="545" t="s">
        <v>243</v>
      </c>
      <c r="AS43" s="547">
        <v>928.32152505643296</v>
      </c>
      <c r="AT43" s="548">
        <v>621.53051351003603</v>
      </c>
      <c r="AU43" s="549">
        <v>570.04648194842503</v>
      </c>
      <c r="AV43" s="543" t="s">
        <v>370</v>
      </c>
      <c r="AX43" s="386">
        <v>38</v>
      </c>
      <c r="AY43" s="357">
        <v>7014</v>
      </c>
      <c r="AZ43" s="387" t="s">
        <v>242</v>
      </c>
      <c r="BA43" s="358">
        <v>993.75</v>
      </c>
      <c r="BB43" s="359">
        <v>624.47500000000002</v>
      </c>
      <c r="BC43" s="400">
        <v>555.95000000000005</v>
      </c>
      <c r="BD43" s="406"/>
    </row>
    <row r="44" spans="2:56" x14ac:dyDescent="0.2">
      <c r="B44" s="386">
        <v>39</v>
      </c>
      <c r="C44" s="357">
        <v>319</v>
      </c>
      <c r="D44" s="387" t="s">
        <v>139</v>
      </c>
      <c r="E44" s="358">
        <v>955.29755689026899</v>
      </c>
      <c r="F44" s="359">
        <v>625.26057446969605</v>
      </c>
      <c r="G44" s="400">
        <v>570.23168033372804</v>
      </c>
      <c r="H44" s="406"/>
      <c r="J44" s="386">
        <v>39</v>
      </c>
      <c r="K44" s="357">
        <v>319</v>
      </c>
      <c r="L44" s="387" t="s">
        <v>139</v>
      </c>
      <c r="M44" s="358">
        <v>955.29755689026899</v>
      </c>
      <c r="N44" s="359">
        <v>625.26057446969605</v>
      </c>
      <c r="O44" s="400">
        <v>570.23168033372804</v>
      </c>
      <c r="P44" s="406"/>
      <c r="R44" s="386">
        <v>39</v>
      </c>
      <c r="S44" s="357">
        <v>319</v>
      </c>
      <c r="T44" s="387" t="s">
        <v>139</v>
      </c>
      <c r="U44" s="358">
        <v>955.29755689026899</v>
      </c>
      <c r="V44" s="359">
        <v>625.26057446969605</v>
      </c>
      <c r="W44" s="400">
        <v>570.23168033372804</v>
      </c>
      <c r="X44" s="406"/>
      <c r="Z44" s="386">
        <v>39</v>
      </c>
      <c r="AA44" s="357">
        <v>319</v>
      </c>
      <c r="AB44" s="387" t="s">
        <v>139</v>
      </c>
      <c r="AC44" s="358">
        <v>955.29755689026899</v>
      </c>
      <c r="AD44" s="359">
        <v>625.26057446969605</v>
      </c>
      <c r="AE44" s="400">
        <v>570.23168033372804</v>
      </c>
      <c r="AF44" s="406"/>
      <c r="AH44" s="386">
        <v>39</v>
      </c>
      <c r="AI44" s="357">
        <v>319</v>
      </c>
      <c r="AJ44" s="387" t="s">
        <v>139</v>
      </c>
      <c r="AK44" s="358">
        <v>955.29755689026899</v>
      </c>
      <c r="AL44" s="359">
        <v>625.26057446969605</v>
      </c>
      <c r="AM44" s="400">
        <v>570.23168033372804</v>
      </c>
      <c r="AN44" s="406"/>
      <c r="AP44" s="386">
        <v>39</v>
      </c>
      <c r="AQ44" s="557">
        <v>7014</v>
      </c>
      <c r="AR44" s="545" t="s">
        <v>242</v>
      </c>
      <c r="AS44" s="540">
        <v>993.75</v>
      </c>
      <c r="AT44" s="541">
        <v>624.47500000000002</v>
      </c>
      <c r="AU44" s="542">
        <v>555.95000000000005</v>
      </c>
      <c r="AV44" s="546"/>
      <c r="AX44" s="386">
        <v>39</v>
      </c>
      <c r="AY44" s="357">
        <v>319</v>
      </c>
      <c r="AZ44" s="387" t="s">
        <v>139</v>
      </c>
      <c r="BA44" s="358">
        <v>955.29755689026899</v>
      </c>
      <c r="BB44" s="359">
        <v>625.26057446969605</v>
      </c>
      <c r="BC44" s="400">
        <v>570.23168033372804</v>
      </c>
      <c r="BD44" s="406"/>
    </row>
    <row r="45" spans="2:56" x14ac:dyDescent="0.2">
      <c r="B45" s="386">
        <v>40</v>
      </c>
      <c r="C45" s="357">
        <v>6756</v>
      </c>
      <c r="D45" s="383" t="s">
        <v>243</v>
      </c>
      <c r="E45" s="358">
        <v>928.32152505643296</v>
      </c>
      <c r="F45" s="359">
        <v>621.53051351003603</v>
      </c>
      <c r="G45" s="400">
        <v>570.04648194842503</v>
      </c>
      <c r="H45" s="406" t="s">
        <v>262</v>
      </c>
      <c r="J45" s="386">
        <v>40</v>
      </c>
      <c r="K45" s="357">
        <v>6756</v>
      </c>
      <c r="L45" s="383" t="s">
        <v>243</v>
      </c>
      <c r="M45" s="358">
        <v>928.32152505643296</v>
      </c>
      <c r="N45" s="359">
        <v>621.53051351003603</v>
      </c>
      <c r="O45" s="400">
        <v>570.04648194842503</v>
      </c>
      <c r="P45" s="406" t="s">
        <v>262</v>
      </c>
      <c r="R45" s="386">
        <v>40</v>
      </c>
      <c r="S45" s="357">
        <v>6756</v>
      </c>
      <c r="T45" s="383" t="s">
        <v>243</v>
      </c>
      <c r="U45" s="358">
        <v>928.32152505643296</v>
      </c>
      <c r="V45" s="359">
        <v>621.53051351003603</v>
      </c>
      <c r="W45" s="400">
        <v>570.04648194842503</v>
      </c>
      <c r="X45" s="406" t="s">
        <v>262</v>
      </c>
      <c r="Z45" s="386">
        <v>40</v>
      </c>
      <c r="AA45" s="357">
        <v>6756</v>
      </c>
      <c r="AB45" s="383" t="s">
        <v>243</v>
      </c>
      <c r="AC45" s="358">
        <v>928.32152505643296</v>
      </c>
      <c r="AD45" s="359">
        <v>621.53051351003603</v>
      </c>
      <c r="AE45" s="400">
        <v>570.04648194842503</v>
      </c>
      <c r="AF45" s="406" t="s">
        <v>262</v>
      </c>
      <c r="AH45" s="386">
        <v>40</v>
      </c>
      <c r="AI45" s="357">
        <v>6756</v>
      </c>
      <c r="AJ45" s="383" t="s">
        <v>243</v>
      </c>
      <c r="AK45" s="358">
        <v>928.32152505643296</v>
      </c>
      <c r="AL45" s="359">
        <v>621.53051351003603</v>
      </c>
      <c r="AM45" s="400">
        <v>570.04648194842503</v>
      </c>
      <c r="AN45" s="406" t="s">
        <v>262</v>
      </c>
      <c r="AP45" s="386">
        <v>40</v>
      </c>
      <c r="AQ45" s="544">
        <v>319</v>
      </c>
      <c r="AR45" s="545" t="s">
        <v>139</v>
      </c>
      <c r="AS45" s="540">
        <v>955.29755689026899</v>
      </c>
      <c r="AT45" s="541">
        <v>625.26057446969605</v>
      </c>
      <c r="AU45" s="542">
        <v>570.23168033372804</v>
      </c>
      <c r="AV45" s="546"/>
      <c r="AX45" s="386">
        <v>40</v>
      </c>
      <c r="AY45" s="357">
        <v>6756</v>
      </c>
      <c r="AZ45" s="383" t="s">
        <v>243</v>
      </c>
      <c r="BA45" s="358">
        <v>928.32152505643296</v>
      </c>
      <c r="BB45" s="359">
        <v>621.53051351003603</v>
      </c>
      <c r="BC45" s="400">
        <v>570.04648194842503</v>
      </c>
      <c r="BD45" s="406" t="s">
        <v>262</v>
      </c>
    </row>
    <row r="46" spans="2:56" x14ac:dyDescent="0.2">
      <c r="B46" s="386">
        <v>41</v>
      </c>
      <c r="C46" s="357">
        <v>1985</v>
      </c>
      <c r="D46" s="387" t="s">
        <v>28</v>
      </c>
      <c r="E46" s="358">
        <v>939.05</v>
      </c>
      <c r="F46" s="359">
        <v>632.67499999999995</v>
      </c>
      <c r="G46" s="400">
        <v>579.04999999999995</v>
      </c>
      <c r="H46" s="406"/>
      <c r="J46" s="386">
        <v>41</v>
      </c>
      <c r="K46" s="357">
        <v>1985</v>
      </c>
      <c r="L46" s="387" t="s">
        <v>28</v>
      </c>
      <c r="M46" s="358">
        <v>939.05</v>
      </c>
      <c r="N46" s="359">
        <v>632.67499999999995</v>
      </c>
      <c r="O46" s="400">
        <v>579.04999999999995</v>
      </c>
      <c r="P46" s="406"/>
      <c r="R46" s="386">
        <v>41</v>
      </c>
      <c r="S46" s="357">
        <v>1985</v>
      </c>
      <c r="T46" s="387" t="s">
        <v>28</v>
      </c>
      <c r="U46" s="358">
        <v>939.05</v>
      </c>
      <c r="V46" s="359">
        <v>632.67499999999995</v>
      </c>
      <c r="W46" s="400">
        <v>579.04999999999995</v>
      </c>
      <c r="X46" s="406"/>
      <c r="Z46" s="386">
        <v>41</v>
      </c>
      <c r="AA46" s="357">
        <v>1985</v>
      </c>
      <c r="AB46" s="387" t="s">
        <v>28</v>
      </c>
      <c r="AC46" s="358">
        <v>939.05</v>
      </c>
      <c r="AD46" s="359">
        <v>632.67499999999995</v>
      </c>
      <c r="AE46" s="400">
        <v>579.04999999999995</v>
      </c>
      <c r="AF46" s="406"/>
      <c r="AH46" s="386">
        <v>41</v>
      </c>
      <c r="AI46" s="357">
        <v>1985</v>
      </c>
      <c r="AJ46" s="387" t="s">
        <v>28</v>
      </c>
      <c r="AK46" s="358">
        <v>939.05</v>
      </c>
      <c r="AL46" s="359">
        <v>632.67499999999995</v>
      </c>
      <c r="AM46" s="400">
        <v>579.04999999999995</v>
      </c>
      <c r="AN46" s="406"/>
      <c r="AP46" s="386">
        <v>41</v>
      </c>
      <c r="AQ46" s="544">
        <v>1985</v>
      </c>
      <c r="AR46" s="545" t="s">
        <v>28</v>
      </c>
      <c r="AS46" s="540">
        <v>939.05</v>
      </c>
      <c r="AT46" s="541">
        <v>632.67499999999995</v>
      </c>
      <c r="AU46" s="542">
        <v>579.04999999999995</v>
      </c>
      <c r="AV46" s="546"/>
      <c r="AX46" s="386">
        <v>41</v>
      </c>
      <c r="AY46" s="357">
        <v>1985</v>
      </c>
      <c r="AZ46" s="387" t="s">
        <v>28</v>
      </c>
      <c r="BA46" s="358">
        <v>939.05</v>
      </c>
      <c r="BB46" s="359">
        <v>632.67499999999995</v>
      </c>
      <c r="BC46" s="400">
        <v>579.04999999999995</v>
      </c>
      <c r="BD46" s="406"/>
    </row>
    <row r="47" spans="2:56" x14ac:dyDescent="0.2">
      <c r="B47" s="386">
        <v>43</v>
      </c>
      <c r="C47" s="363">
        <v>4469</v>
      </c>
      <c r="D47" s="364" t="s">
        <v>33</v>
      </c>
      <c r="E47" s="358">
        <v>982.5</v>
      </c>
      <c r="F47" s="359">
        <v>642.6</v>
      </c>
      <c r="G47" s="400">
        <v>583.5</v>
      </c>
      <c r="H47" s="406"/>
      <c r="J47" s="386">
        <v>43</v>
      </c>
      <c r="K47" s="363">
        <v>4469</v>
      </c>
      <c r="L47" s="364" t="s">
        <v>33</v>
      </c>
      <c r="M47" s="358">
        <v>982.5</v>
      </c>
      <c r="N47" s="359">
        <v>642.6</v>
      </c>
      <c r="O47" s="400">
        <v>583.5</v>
      </c>
      <c r="P47" s="406"/>
      <c r="R47" s="386">
        <v>43</v>
      </c>
      <c r="S47" s="363">
        <v>4469</v>
      </c>
      <c r="T47" s="364" t="s">
        <v>33</v>
      </c>
      <c r="U47" s="358">
        <v>982.5</v>
      </c>
      <c r="V47" s="359">
        <v>642.6</v>
      </c>
      <c r="W47" s="400">
        <v>583.5</v>
      </c>
      <c r="X47" s="406"/>
      <c r="Z47" s="386">
        <v>43</v>
      </c>
      <c r="AA47" s="363">
        <v>4469</v>
      </c>
      <c r="AB47" s="364" t="s">
        <v>33</v>
      </c>
      <c r="AC47" s="358">
        <v>982.5</v>
      </c>
      <c r="AD47" s="359">
        <v>642.6</v>
      </c>
      <c r="AE47" s="400">
        <v>583.5</v>
      </c>
      <c r="AF47" s="406"/>
      <c r="AH47" s="386">
        <v>43</v>
      </c>
      <c r="AI47" s="363">
        <v>4469</v>
      </c>
      <c r="AJ47" s="364" t="s">
        <v>33</v>
      </c>
      <c r="AK47" s="358">
        <v>982.5</v>
      </c>
      <c r="AL47" s="359">
        <v>642.6</v>
      </c>
      <c r="AM47" s="400">
        <v>583.5</v>
      </c>
      <c r="AN47" s="406"/>
      <c r="AP47" s="386">
        <v>43</v>
      </c>
      <c r="AQ47" s="544">
        <v>6934</v>
      </c>
      <c r="AR47" s="545" t="s">
        <v>214</v>
      </c>
      <c r="AS47" s="547">
        <v>975.93299999999999</v>
      </c>
      <c r="AT47" s="548">
        <v>633.60125000000005</v>
      </c>
      <c r="AU47" s="549">
        <v>566.577</v>
      </c>
      <c r="AV47" s="543" t="s">
        <v>370</v>
      </c>
      <c r="AX47" s="386">
        <v>43</v>
      </c>
      <c r="AY47" s="363">
        <v>4469</v>
      </c>
      <c r="AZ47" s="364" t="s">
        <v>33</v>
      </c>
      <c r="BA47" s="358">
        <v>982.5</v>
      </c>
      <c r="BB47" s="359">
        <v>642.6</v>
      </c>
      <c r="BC47" s="400">
        <v>583.5</v>
      </c>
      <c r="BD47" s="406"/>
    </row>
    <row r="48" spans="2:56" x14ac:dyDescent="0.2">
      <c r="B48" s="386">
        <v>44</v>
      </c>
      <c r="C48" s="357">
        <v>6934</v>
      </c>
      <c r="D48" s="364" t="s">
        <v>214</v>
      </c>
      <c r="E48" s="358">
        <v>975.93299999999999</v>
      </c>
      <c r="F48" s="359">
        <v>633.60125000000005</v>
      </c>
      <c r="G48" s="400">
        <v>566.577</v>
      </c>
      <c r="H48" s="406" t="s">
        <v>262</v>
      </c>
      <c r="J48" s="386">
        <v>44</v>
      </c>
      <c r="K48" s="357">
        <v>6934</v>
      </c>
      <c r="L48" s="364" t="s">
        <v>214</v>
      </c>
      <c r="M48" s="358">
        <v>975.93299999999999</v>
      </c>
      <c r="N48" s="359">
        <v>633.60125000000005</v>
      </c>
      <c r="O48" s="400">
        <v>566.577</v>
      </c>
      <c r="P48" s="406" t="s">
        <v>262</v>
      </c>
      <c r="R48" s="386">
        <v>44</v>
      </c>
      <c r="S48" s="357">
        <v>6934</v>
      </c>
      <c r="T48" s="364" t="s">
        <v>214</v>
      </c>
      <c r="U48" s="358">
        <v>975.93299999999999</v>
      </c>
      <c r="V48" s="359">
        <v>633.60125000000005</v>
      </c>
      <c r="W48" s="400">
        <v>566.577</v>
      </c>
      <c r="X48" s="406" t="s">
        <v>262</v>
      </c>
      <c r="Z48" s="386">
        <v>44</v>
      </c>
      <c r="AA48" s="357">
        <v>6934</v>
      </c>
      <c r="AB48" s="364" t="s">
        <v>214</v>
      </c>
      <c r="AC48" s="358">
        <v>975.93299999999999</v>
      </c>
      <c r="AD48" s="359">
        <v>633.60125000000005</v>
      </c>
      <c r="AE48" s="400">
        <v>566.577</v>
      </c>
      <c r="AF48" s="406" t="s">
        <v>262</v>
      </c>
      <c r="AH48" s="386">
        <v>44</v>
      </c>
      <c r="AI48" s="357">
        <v>6934</v>
      </c>
      <c r="AJ48" s="364" t="s">
        <v>214</v>
      </c>
      <c r="AK48" s="358">
        <v>975.93299999999999</v>
      </c>
      <c r="AL48" s="359">
        <v>633.60125000000005</v>
      </c>
      <c r="AM48" s="400">
        <v>566.577</v>
      </c>
      <c r="AN48" s="406" t="s">
        <v>262</v>
      </c>
      <c r="AP48" s="386">
        <v>44</v>
      </c>
      <c r="AQ48" s="544">
        <v>4469</v>
      </c>
      <c r="AR48" s="545" t="s">
        <v>33</v>
      </c>
      <c r="AS48" s="540">
        <v>982.5</v>
      </c>
      <c r="AT48" s="541">
        <v>642.6</v>
      </c>
      <c r="AU48" s="542">
        <v>583.5</v>
      </c>
      <c r="AV48" s="546"/>
      <c r="AX48" s="386">
        <v>44</v>
      </c>
      <c r="AY48" s="357">
        <v>6934</v>
      </c>
      <c r="AZ48" s="364" t="s">
        <v>214</v>
      </c>
      <c r="BA48" s="358">
        <v>975.93299999999999</v>
      </c>
      <c r="BB48" s="359">
        <v>633.60125000000005</v>
      </c>
      <c r="BC48" s="400">
        <v>566.577</v>
      </c>
      <c r="BD48" s="406" t="s">
        <v>262</v>
      </c>
    </row>
    <row r="49" spans="2:56" ht="13.5" thickBot="1" x14ac:dyDescent="0.25">
      <c r="B49" s="389">
        <v>45</v>
      </c>
      <c r="C49" s="382">
        <v>5273</v>
      </c>
      <c r="D49" s="383" t="s">
        <v>212</v>
      </c>
      <c r="E49" s="390">
        <v>1033.7</v>
      </c>
      <c r="F49" s="391">
        <v>675.8</v>
      </c>
      <c r="G49" s="403">
        <v>615.15</v>
      </c>
      <c r="H49" s="406"/>
      <c r="J49" s="389">
        <v>45</v>
      </c>
      <c r="K49" s="382">
        <v>5273</v>
      </c>
      <c r="L49" s="383" t="s">
        <v>212</v>
      </c>
      <c r="M49" s="390">
        <v>1033.7</v>
      </c>
      <c r="N49" s="391">
        <v>675.8</v>
      </c>
      <c r="O49" s="403">
        <v>615.15</v>
      </c>
      <c r="P49" s="406"/>
      <c r="R49" s="389">
        <v>45</v>
      </c>
      <c r="S49" s="382">
        <v>5273</v>
      </c>
      <c r="T49" s="383" t="s">
        <v>212</v>
      </c>
      <c r="U49" s="390">
        <v>1033.7</v>
      </c>
      <c r="V49" s="391">
        <v>675.8</v>
      </c>
      <c r="W49" s="403">
        <v>615.15</v>
      </c>
      <c r="X49" s="406"/>
      <c r="Z49" s="389">
        <v>45</v>
      </c>
      <c r="AA49" s="382">
        <v>5273</v>
      </c>
      <c r="AB49" s="383" t="s">
        <v>212</v>
      </c>
      <c r="AC49" s="390">
        <v>1033.7</v>
      </c>
      <c r="AD49" s="391">
        <v>675.8</v>
      </c>
      <c r="AE49" s="403">
        <v>615.15</v>
      </c>
      <c r="AF49" s="406"/>
      <c r="AH49" s="389">
        <v>45</v>
      </c>
      <c r="AI49" s="382">
        <v>5273</v>
      </c>
      <c r="AJ49" s="383" t="s">
        <v>212</v>
      </c>
      <c r="AK49" s="390">
        <v>1033.7</v>
      </c>
      <c r="AL49" s="391">
        <v>675.8</v>
      </c>
      <c r="AM49" s="403">
        <v>615.15</v>
      </c>
      <c r="AN49" s="406"/>
      <c r="AP49" s="389">
        <v>45</v>
      </c>
      <c r="AQ49" s="558">
        <v>5273</v>
      </c>
      <c r="AR49" s="559" t="s">
        <v>212</v>
      </c>
      <c r="AS49" s="560">
        <v>1033.7</v>
      </c>
      <c r="AT49" s="561">
        <v>675.8</v>
      </c>
      <c r="AU49" s="562">
        <v>615.15</v>
      </c>
      <c r="AV49" s="563"/>
      <c r="AX49" s="389">
        <v>45</v>
      </c>
      <c r="AY49" s="382">
        <v>5273</v>
      </c>
      <c r="AZ49" s="383" t="s">
        <v>212</v>
      </c>
      <c r="BA49" s="390">
        <v>1033.7</v>
      </c>
      <c r="BB49" s="391">
        <v>675.8</v>
      </c>
      <c r="BC49" s="403">
        <v>615.15</v>
      </c>
      <c r="BD49" s="406"/>
    </row>
    <row r="50" spans="2:56" x14ac:dyDescent="0.2">
      <c r="B50" s="392"/>
      <c r="C50" s="393"/>
      <c r="D50" s="393"/>
      <c r="E50" s="393"/>
      <c r="F50" s="393"/>
      <c r="G50" s="404"/>
      <c r="H50" s="406"/>
      <c r="J50" s="392"/>
      <c r="K50" s="393"/>
      <c r="L50" s="393"/>
      <c r="M50" s="393"/>
      <c r="N50" s="393"/>
      <c r="O50" s="404"/>
      <c r="P50" s="406"/>
      <c r="R50" s="392"/>
      <c r="S50" s="393"/>
      <c r="T50" s="393"/>
      <c r="U50" s="393"/>
      <c r="V50" s="393"/>
      <c r="W50" s="404"/>
      <c r="X50" s="406"/>
      <c r="Z50" s="392"/>
      <c r="AA50" s="393"/>
      <c r="AB50" s="393"/>
      <c r="AC50" s="393"/>
      <c r="AD50" s="393"/>
      <c r="AE50" s="404"/>
      <c r="AF50" s="406"/>
      <c r="AH50" s="392"/>
      <c r="AI50" s="393"/>
      <c r="AJ50" s="393"/>
      <c r="AK50" s="393"/>
      <c r="AL50" s="393"/>
      <c r="AM50" s="404"/>
      <c r="AN50" s="406"/>
      <c r="AP50" s="392"/>
      <c r="AQ50" s="393"/>
      <c r="AR50" s="393"/>
      <c r="AS50" s="393"/>
      <c r="AT50" s="393"/>
      <c r="AU50" s="404"/>
      <c r="AV50" s="406"/>
      <c r="AX50" s="392"/>
      <c r="AY50" s="393"/>
      <c r="AZ50" s="393"/>
      <c r="BA50" s="393"/>
      <c r="BB50" s="393"/>
      <c r="BC50" s="404"/>
      <c r="BD50" s="406"/>
    </row>
    <row r="51" spans="2:56" x14ac:dyDescent="0.2">
      <c r="B51" s="392"/>
      <c r="C51" s="393"/>
      <c r="D51" s="393"/>
      <c r="E51" s="393"/>
      <c r="F51" s="393"/>
      <c r="G51" s="404"/>
      <c r="H51" s="406"/>
      <c r="J51" s="392"/>
      <c r="K51" s="393"/>
      <c r="L51" s="393"/>
      <c r="M51" s="393"/>
      <c r="N51" s="393"/>
      <c r="O51" s="404"/>
      <c r="P51" s="406"/>
      <c r="R51" s="392"/>
      <c r="S51" s="393"/>
      <c r="T51" s="393"/>
      <c r="U51" s="393"/>
      <c r="V51" s="393"/>
      <c r="W51" s="404"/>
      <c r="X51" s="406"/>
      <c r="Z51" s="392"/>
      <c r="AA51" s="393"/>
      <c r="AB51" s="393"/>
      <c r="AC51" s="393"/>
      <c r="AD51" s="393"/>
      <c r="AE51" s="404"/>
      <c r="AF51" s="406"/>
      <c r="AH51" s="392"/>
      <c r="AI51" s="393"/>
      <c r="AJ51" s="393"/>
      <c r="AK51" s="393"/>
      <c r="AL51" s="393"/>
      <c r="AM51" s="404"/>
      <c r="AN51" s="406"/>
      <c r="AP51" s="392"/>
      <c r="AQ51" s="393"/>
      <c r="AR51" s="393"/>
      <c r="AS51" s="393"/>
      <c r="AT51" s="393"/>
      <c r="AU51" s="404"/>
      <c r="AV51" s="406"/>
      <c r="AX51" s="392"/>
      <c r="AY51" s="393"/>
      <c r="AZ51" s="393"/>
      <c r="BA51" s="393"/>
      <c r="BB51" s="393"/>
      <c r="BC51" s="404"/>
      <c r="BD51" s="406"/>
    </row>
    <row r="52" spans="2:56" x14ac:dyDescent="0.2">
      <c r="B52" s="392"/>
      <c r="C52" s="393"/>
      <c r="D52" s="393"/>
      <c r="E52" s="393"/>
      <c r="F52" s="393"/>
      <c r="G52" s="404"/>
      <c r="H52" s="406"/>
      <c r="J52" s="392"/>
      <c r="K52" s="393"/>
      <c r="L52" s="393"/>
      <c r="M52" s="393"/>
      <c r="N52" s="393"/>
      <c r="O52" s="404"/>
      <c r="P52" s="406"/>
      <c r="R52" s="392"/>
      <c r="S52" s="393"/>
      <c r="T52" s="393"/>
      <c r="U52" s="393"/>
      <c r="V52" s="393"/>
      <c r="W52" s="404"/>
      <c r="X52" s="406"/>
      <c r="Z52" s="392"/>
      <c r="AA52" s="393"/>
      <c r="AB52" s="393"/>
      <c r="AC52" s="393"/>
      <c r="AD52" s="393"/>
      <c r="AE52" s="404"/>
      <c r="AF52" s="406"/>
      <c r="AH52" s="392"/>
      <c r="AI52" s="393"/>
      <c r="AJ52" s="393"/>
      <c r="AK52" s="393"/>
      <c r="AL52" s="393"/>
      <c r="AM52" s="404"/>
      <c r="AN52" s="406"/>
      <c r="AP52" s="392"/>
      <c r="AQ52" s="393"/>
      <c r="AR52" s="393"/>
      <c r="AS52" s="393"/>
      <c r="AT52" s="393"/>
      <c r="AU52" s="404"/>
      <c r="AV52" s="406"/>
      <c r="AX52" s="392"/>
      <c r="AY52" s="393"/>
      <c r="AZ52" s="393"/>
      <c r="BA52" s="393"/>
      <c r="BB52" s="393"/>
      <c r="BC52" s="404"/>
      <c r="BD52" s="406"/>
    </row>
    <row r="53" spans="2:56" x14ac:dyDescent="0.2">
      <c r="B53" s="392"/>
      <c r="C53" s="393"/>
      <c r="D53" s="393"/>
      <c r="E53" s="393"/>
      <c r="F53" s="393"/>
      <c r="G53" s="404"/>
      <c r="H53" s="406"/>
      <c r="J53" s="392"/>
      <c r="K53" s="393"/>
      <c r="L53" s="393"/>
      <c r="M53" s="393"/>
      <c r="N53" s="393"/>
      <c r="O53" s="404"/>
      <c r="P53" s="406"/>
      <c r="R53" s="392"/>
      <c r="S53" s="393"/>
      <c r="T53" s="393"/>
      <c r="U53" s="393"/>
      <c r="V53" s="393"/>
      <c r="W53" s="404"/>
      <c r="X53" s="406"/>
      <c r="Z53" s="392"/>
      <c r="AA53" s="393"/>
      <c r="AB53" s="393"/>
      <c r="AC53" s="393"/>
      <c r="AD53" s="393"/>
      <c r="AE53" s="404"/>
      <c r="AF53" s="406"/>
      <c r="AH53" s="392"/>
      <c r="AI53" s="393"/>
      <c r="AJ53" s="393"/>
      <c r="AK53" s="393"/>
      <c r="AL53" s="393"/>
      <c r="AM53" s="404"/>
      <c r="AN53" s="406"/>
      <c r="AP53" s="392"/>
      <c r="AQ53" s="393"/>
      <c r="AR53" s="393"/>
      <c r="AS53" s="393"/>
      <c r="AT53" s="393"/>
      <c r="AU53" s="404"/>
      <c r="AV53" s="406"/>
      <c r="AX53" s="392"/>
      <c r="AY53" s="393"/>
      <c r="AZ53" s="393"/>
      <c r="BA53" s="393"/>
      <c r="BB53" s="393"/>
      <c r="BC53" s="404"/>
      <c r="BD53" s="406"/>
    </row>
    <row r="54" spans="2:56" x14ac:dyDescent="0.2">
      <c r="B54" s="392"/>
      <c r="C54" s="393"/>
      <c r="D54" s="393"/>
      <c r="E54" s="393"/>
      <c r="F54" s="393"/>
      <c r="G54" s="404"/>
      <c r="H54" s="406"/>
      <c r="J54" s="392"/>
      <c r="K54" s="393"/>
      <c r="L54" s="393"/>
      <c r="M54" s="393"/>
      <c r="N54" s="393"/>
      <c r="O54" s="404"/>
      <c r="P54" s="406"/>
      <c r="R54" s="392"/>
      <c r="S54" s="393"/>
      <c r="T54" s="393"/>
      <c r="U54" s="393"/>
      <c r="V54" s="393"/>
      <c r="W54" s="404"/>
      <c r="X54" s="406"/>
      <c r="Z54" s="392"/>
      <c r="AA54" s="393"/>
      <c r="AB54" s="393"/>
      <c r="AC54" s="393"/>
      <c r="AD54" s="393"/>
      <c r="AE54" s="404"/>
      <c r="AF54" s="406"/>
      <c r="AH54" s="392"/>
      <c r="AI54" s="393"/>
      <c r="AJ54" s="393"/>
      <c r="AK54" s="393"/>
      <c r="AL54" s="393"/>
      <c r="AM54" s="404"/>
      <c r="AN54" s="406"/>
      <c r="AP54" s="392"/>
      <c r="AQ54" s="393"/>
      <c r="AR54" s="393"/>
      <c r="AS54" s="393"/>
      <c r="AT54" s="393"/>
      <c r="AU54" s="404"/>
      <c r="AV54" s="406"/>
      <c r="AX54" s="392"/>
      <c r="AY54" s="393"/>
      <c r="AZ54" s="393"/>
      <c r="BA54" s="393"/>
      <c r="BB54" s="393"/>
      <c r="BC54" s="404"/>
      <c r="BD54" s="406"/>
    </row>
    <row r="55" spans="2:56" x14ac:dyDescent="0.2">
      <c r="B55" s="392"/>
      <c r="C55" s="393"/>
      <c r="D55" s="393"/>
      <c r="E55" s="393"/>
      <c r="F55" s="393"/>
      <c r="G55" s="404"/>
      <c r="H55" s="406"/>
      <c r="J55" s="392"/>
      <c r="K55" s="393"/>
      <c r="L55" s="393"/>
      <c r="M55" s="393"/>
      <c r="N55" s="393"/>
      <c r="O55" s="404"/>
      <c r="P55" s="406"/>
      <c r="R55" s="392"/>
      <c r="S55" s="393"/>
      <c r="T55" s="393"/>
      <c r="U55" s="393"/>
      <c r="V55" s="393"/>
      <c r="W55" s="404"/>
      <c r="X55" s="406"/>
      <c r="Z55" s="392"/>
      <c r="AA55" s="393"/>
      <c r="AB55" s="393"/>
      <c r="AC55" s="393"/>
      <c r="AD55" s="393"/>
      <c r="AE55" s="404"/>
      <c r="AF55" s="406"/>
      <c r="AH55" s="392"/>
      <c r="AI55" s="393"/>
      <c r="AJ55" s="393"/>
      <c r="AK55" s="393"/>
      <c r="AL55" s="393"/>
      <c r="AM55" s="404"/>
      <c r="AN55" s="406"/>
      <c r="AP55" s="392"/>
      <c r="AQ55" s="393"/>
      <c r="AR55" s="393"/>
      <c r="AS55" s="393"/>
      <c r="AT55" s="393"/>
      <c r="AU55" s="404"/>
      <c r="AV55" s="406"/>
      <c r="AX55" s="392"/>
      <c r="AY55" s="393"/>
      <c r="AZ55" s="393"/>
      <c r="BA55" s="393"/>
      <c r="BB55" s="393"/>
      <c r="BC55" s="404"/>
      <c r="BD55" s="406"/>
    </row>
    <row r="56" spans="2:56" x14ac:dyDescent="0.2">
      <c r="B56" s="392"/>
      <c r="C56" s="393"/>
      <c r="D56" s="393"/>
      <c r="E56" s="393"/>
      <c r="F56" s="393"/>
      <c r="G56" s="404"/>
      <c r="H56" s="406"/>
      <c r="J56" s="392"/>
      <c r="K56" s="393"/>
      <c r="L56" s="393"/>
      <c r="M56" s="393"/>
      <c r="N56" s="393"/>
      <c r="O56" s="404"/>
      <c r="P56" s="406"/>
      <c r="R56" s="392"/>
      <c r="S56" s="393"/>
      <c r="T56" s="393"/>
      <c r="U56" s="393"/>
      <c r="V56" s="393"/>
      <c r="W56" s="404"/>
      <c r="X56" s="406"/>
      <c r="Z56" s="392"/>
      <c r="AA56" s="393"/>
      <c r="AB56" s="393"/>
      <c r="AC56" s="393"/>
      <c r="AD56" s="393"/>
      <c r="AE56" s="404"/>
      <c r="AF56" s="406"/>
      <c r="AH56" s="392"/>
      <c r="AI56" s="393"/>
      <c r="AJ56" s="393"/>
      <c r="AK56" s="393"/>
      <c r="AL56" s="393"/>
      <c r="AM56" s="404"/>
      <c r="AN56" s="406"/>
      <c r="AP56" s="392"/>
      <c r="AQ56" s="393"/>
      <c r="AR56" s="393"/>
      <c r="AS56" s="393"/>
      <c r="AT56" s="393"/>
      <c r="AU56" s="404"/>
      <c r="AV56" s="406"/>
      <c r="AX56" s="392"/>
      <c r="AY56" s="393"/>
      <c r="AZ56" s="393"/>
      <c r="BA56" s="393"/>
      <c r="BB56" s="393"/>
      <c r="BC56" s="404"/>
      <c r="BD56" s="406"/>
    </row>
    <row r="57" spans="2:56" x14ac:dyDescent="0.2">
      <c r="B57" s="392"/>
      <c r="C57" s="393"/>
      <c r="D57" s="393"/>
      <c r="E57" s="393"/>
      <c r="F57" s="393"/>
      <c r="G57" s="404"/>
      <c r="H57" s="406"/>
      <c r="J57" s="392"/>
      <c r="K57" s="393"/>
      <c r="L57" s="393"/>
      <c r="M57" s="393"/>
      <c r="N57" s="393"/>
      <c r="O57" s="404"/>
      <c r="P57" s="406"/>
      <c r="R57" s="392"/>
      <c r="S57" s="393"/>
      <c r="T57" s="393"/>
      <c r="U57" s="393"/>
      <c r="V57" s="393"/>
      <c r="W57" s="404"/>
      <c r="X57" s="406"/>
      <c r="Z57" s="392"/>
      <c r="AA57" s="393"/>
      <c r="AB57" s="393"/>
      <c r="AC57" s="393"/>
      <c r="AD57" s="393"/>
      <c r="AE57" s="404"/>
      <c r="AF57" s="406"/>
      <c r="AH57" s="392"/>
      <c r="AI57" s="393"/>
      <c r="AJ57" s="393"/>
      <c r="AK57" s="393"/>
      <c r="AL57" s="393"/>
      <c r="AM57" s="404"/>
      <c r="AN57" s="406"/>
      <c r="AP57" s="392"/>
      <c r="AQ57" s="393"/>
      <c r="AR57" s="393"/>
      <c r="AS57" s="393"/>
      <c r="AT57" s="393"/>
      <c r="AU57" s="404"/>
      <c r="AV57" s="406"/>
      <c r="AX57" s="392"/>
      <c r="AY57" s="393"/>
      <c r="AZ57" s="393"/>
      <c r="BA57" s="393"/>
      <c r="BB57" s="393"/>
      <c r="BC57" s="404"/>
      <c r="BD57" s="406"/>
    </row>
    <row r="58" spans="2:56" x14ac:dyDescent="0.2">
      <c r="B58" s="392"/>
      <c r="C58" s="393"/>
      <c r="D58" s="393"/>
      <c r="E58" s="393"/>
      <c r="F58" s="393"/>
      <c r="G58" s="404"/>
      <c r="H58" s="406"/>
      <c r="J58" s="392"/>
      <c r="K58" s="393"/>
      <c r="L58" s="393"/>
      <c r="M58" s="393"/>
      <c r="N58" s="393"/>
      <c r="O58" s="404"/>
      <c r="P58" s="406"/>
      <c r="R58" s="392"/>
      <c r="S58" s="393"/>
      <c r="T58" s="393"/>
      <c r="U58" s="393"/>
      <c r="V58" s="393"/>
      <c r="W58" s="404"/>
      <c r="X58" s="406"/>
      <c r="Z58" s="392"/>
      <c r="AA58" s="393"/>
      <c r="AB58" s="393"/>
      <c r="AC58" s="393"/>
      <c r="AD58" s="393"/>
      <c r="AE58" s="404"/>
      <c r="AF58" s="406"/>
      <c r="AH58" s="392"/>
      <c r="AI58" s="393"/>
      <c r="AJ58" s="393"/>
      <c r="AK58" s="393"/>
      <c r="AL58" s="393"/>
      <c r="AM58" s="404"/>
      <c r="AN58" s="406"/>
      <c r="AP58" s="392"/>
      <c r="AQ58" s="393"/>
      <c r="AR58" s="393"/>
      <c r="AS58" s="393"/>
      <c r="AT58" s="393"/>
      <c r="AU58" s="404"/>
      <c r="AV58" s="406"/>
      <c r="AX58" s="392"/>
      <c r="AY58" s="393"/>
      <c r="AZ58" s="393"/>
      <c r="BA58" s="393"/>
      <c r="BB58" s="393"/>
      <c r="BC58" s="404"/>
      <c r="BD58" s="406"/>
    </row>
    <row r="59" spans="2:56" x14ac:dyDescent="0.2">
      <c r="B59" s="392"/>
      <c r="C59" s="393"/>
      <c r="D59" s="393"/>
      <c r="E59" s="393"/>
      <c r="F59" s="393"/>
      <c r="G59" s="404"/>
      <c r="H59" s="406"/>
      <c r="J59" s="392"/>
      <c r="K59" s="393"/>
      <c r="L59" s="393"/>
      <c r="M59" s="393"/>
      <c r="N59" s="393"/>
      <c r="O59" s="404"/>
      <c r="P59" s="406"/>
      <c r="R59" s="392"/>
      <c r="S59" s="393"/>
      <c r="T59" s="393"/>
      <c r="U59" s="393"/>
      <c r="V59" s="393"/>
      <c r="W59" s="404"/>
      <c r="X59" s="406"/>
      <c r="Z59" s="392"/>
      <c r="AA59" s="393"/>
      <c r="AB59" s="393"/>
      <c r="AC59" s="393"/>
      <c r="AD59" s="393"/>
      <c r="AE59" s="404"/>
      <c r="AF59" s="406"/>
      <c r="AH59" s="392"/>
      <c r="AI59" s="393"/>
      <c r="AJ59" s="393"/>
      <c r="AK59" s="393"/>
      <c r="AL59" s="393"/>
      <c r="AM59" s="404"/>
      <c r="AN59" s="406"/>
      <c r="AP59" s="392"/>
      <c r="AQ59" s="393"/>
      <c r="AR59" s="393"/>
      <c r="AS59" s="393"/>
      <c r="AT59" s="393"/>
      <c r="AU59" s="404"/>
      <c r="AV59" s="406"/>
      <c r="AX59" s="392"/>
      <c r="AY59" s="393"/>
      <c r="AZ59" s="393"/>
      <c r="BA59" s="393"/>
      <c r="BB59" s="393"/>
      <c r="BC59" s="404"/>
      <c r="BD59" s="406"/>
    </row>
    <row r="60" spans="2:56" ht="13.5" thickBot="1" x14ac:dyDescent="0.25">
      <c r="B60" s="394"/>
      <c r="C60" s="395"/>
      <c r="D60" s="395"/>
      <c r="E60" s="395"/>
      <c r="F60" s="395"/>
      <c r="G60" s="405"/>
      <c r="H60" s="408"/>
      <c r="J60" s="394"/>
      <c r="K60" s="395"/>
      <c r="L60" s="395"/>
      <c r="M60" s="395"/>
      <c r="N60" s="395"/>
      <c r="O60" s="405"/>
      <c r="P60" s="408"/>
      <c r="R60" s="394"/>
      <c r="S60" s="395"/>
      <c r="T60" s="395"/>
      <c r="U60" s="395"/>
      <c r="V60" s="395"/>
      <c r="W60" s="405"/>
      <c r="X60" s="408"/>
      <c r="Z60" s="394"/>
      <c r="AA60" s="395"/>
      <c r="AB60" s="395"/>
      <c r="AC60" s="395"/>
      <c r="AD60" s="395"/>
      <c r="AE60" s="405"/>
      <c r="AF60" s="408"/>
      <c r="AH60" s="394"/>
      <c r="AI60" s="395"/>
      <c r="AJ60" s="395"/>
      <c r="AK60" s="395"/>
      <c r="AL60" s="395"/>
      <c r="AM60" s="405"/>
      <c r="AN60" s="408"/>
      <c r="AP60" s="394"/>
      <c r="AQ60" s="395"/>
      <c r="AR60" s="395"/>
      <c r="AS60" s="395"/>
      <c r="AT60" s="395"/>
      <c r="AU60" s="405"/>
      <c r="AV60" s="408"/>
      <c r="AX60" s="394"/>
      <c r="AY60" s="395"/>
      <c r="AZ60" s="395"/>
      <c r="BA60" s="395"/>
      <c r="BB60" s="395"/>
      <c r="BC60" s="405"/>
      <c r="BD60" s="408"/>
    </row>
  </sheetData>
  <sheetProtection algorithmName="SHA-512" hashValue="RENyOZ2bsBwjulqtaM/yF7+MMcczKTAT4bCmWcphHSVe01Q2qny0zqZTPosKnQ+VKl4x7bblHUbg6GcbtLPlMA==" saltValue="1bk7D+bOlMW2XndruRR+AA==" spinCount="100000" sheet="1" objects="1" scenarios="1"/>
  <mergeCells count="21">
    <mergeCell ref="AV4:AV5"/>
    <mergeCell ref="AX3:AY3"/>
    <mergeCell ref="BD4:BD5"/>
    <mergeCell ref="AX5:AY5"/>
    <mergeCell ref="R3:S3"/>
    <mergeCell ref="X4:X5"/>
    <mergeCell ref="R5:S5"/>
    <mergeCell ref="AP5:AQ5"/>
    <mergeCell ref="AF4:AF5"/>
    <mergeCell ref="Z5:AA5"/>
    <mergeCell ref="AH3:AI3"/>
    <mergeCell ref="AN4:AN5"/>
    <mergeCell ref="AH5:AI5"/>
    <mergeCell ref="AP3:AQ3"/>
    <mergeCell ref="Z3:AA3"/>
    <mergeCell ref="B5:C5"/>
    <mergeCell ref="B3:C3"/>
    <mergeCell ref="H4:H5"/>
    <mergeCell ref="J3:K3"/>
    <mergeCell ref="P4:P5"/>
    <mergeCell ref="J5:K5"/>
  </mergeCells>
  <phoneticPr fontId="71"/>
  <pageMargins left="0.7" right="0.7" top="0.75" bottom="0.75" header="0.3" footer="0.3"/>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B42"/>
  <sheetViews>
    <sheetView zoomScale="70" zoomScaleNormal="70" workbookViewId="0">
      <selection activeCell="K10" sqref="K10"/>
    </sheetView>
  </sheetViews>
  <sheetFormatPr defaultColWidth="9" defaultRowHeight="13" x14ac:dyDescent="0.2"/>
  <cols>
    <col min="1" max="1" width="1.7265625" style="185" customWidth="1"/>
    <col min="2" max="2" width="5" style="185" customWidth="1"/>
    <col min="3" max="3" width="7" style="185" customWidth="1"/>
    <col min="4" max="4" width="18" style="185" customWidth="1"/>
    <col min="5" max="5" width="8" style="185" hidden="1" customWidth="1"/>
    <col min="6" max="6" width="5.453125" style="185" customWidth="1"/>
    <col min="7" max="7" width="12" style="185" customWidth="1"/>
    <col min="8" max="8" width="8.90625" style="185" customWidth="1"/>
    <col min="9" max="9" width="8.6328125" style="185" customWidth="1"/>
    <col min="10" max="10" width="5" style="185" customWidth="1"/>
    <col min="11" max="11" width="8.453125" style="185" customWidth="1"/>
    <col min="12" max="12" width="10.90625" style="185" customWidth="1"/>
    <col min="13" max="13" width="9.453125" style="185" customWidth="1"/>
    <col min="14" max="14" width="7.90625" style="185" customWidth="1"/>
    <col min="15" max="15" width="8" style="185" customWidth="1"/>
    <col min="16" max="16" width="12" style="185" bestFit="1" customWidth="1"/>
    <col min="17" max="17" width="13.453125" style="185" customWidth="1"/>
    <col min="18" max="18" width="4.90625" style="185" customWidth="1"/>
    <col min="19" max="21" width="7.6328125" style="185" hidden="1" customWidth="1"/>
    <col min="22" max="22" width="8.26953125" style="185" customWidth="1"/>
    <col min="23" max="24" width="7.6328125" style="185" customWidth="1"/>
    <col min="25" max="25" width="4.453125" style="185" customWidth="1"/>
    <col min="26" max="28" width="8" style="185" customWidth="1"/>
    <col min="29" max="16384" width="9" style="185"/>
  </cols>
  <sheetData>
    <row r="1" spans="1:28" ht="9.75" customHeight="1" thickBot="1" x14ac:dyDescent="0.25">
      <c r="A1" s="103"/>
      <c r="B1" s="103"/>
      <c r="C1" s="103"/>
      <c r="D1" s="103"/>
      <c r="E1" s="103"/>
      <c r="F1" s="103"/>
      <c r="G1" s="103"/>
      <c r="H1" s="103"/>
      <c r="I1" s="103"/>
      <c r="J1" s="103"/>
      <c r="K1" s="103"/>
      <c r="L1" s="103"/>
      <c r="M1" s="103"/>
      <c r="N1" s="103"/>
      <c r="O1" s="103"/>
      <c r="P1" s="103"/>
      <c r="Q1" s="103"/>
      <c r="R1" s="103"/>
    </row>
    <row r="2" spans="1:28" ht="21" x14ac:dyDescent="0.3">
      <c r="A2" s="103"/>
      <c r="B2" s="94"/>
      <c r="C2" s="95"/>
      <c r="D2" s="575" t="str">
        <f>参照ﾃﾞｰﾀ!F4</f>
        <v>2025年</v>
      </c>
      <c r="E2" s="575"/>
      <c r="F2" s="575"/>
      <c r="G2" s="96" t="s">
        <v>171</v>
      </c>
      <c r="H2" s="97" t="s">
        <v>293</v>
      </c>
      <c r="I2" s="98"/>
      <c r="J2" s="94"/>
      <c r="K2" s="99"/>
      <c r="L2" s="94"/>
      <c r="M2" s="100" t="s">
        <v>40</v>
      </c>
      <c r="N2" s="101" t="s">
        <v>50</v>
      </c>
      <c r="O2" s="102" t="s">
        <v>42</v>
      </c>
      <c r="P2" s="230">
        <v>45907</v>
      </c>
      <c r="Q2" s="326" t="s">
        <v>213</v>
      </c>
      <c r="R2" s="94"/>
      <c r="S2" s="187" t="s">
        <v>2</v>
      </c>
      <c r="T2" s="186"/>
      <c r="U2" s="186"/>
      <c r="V2" s="186"/>
      <c r="W2" s="186"/>
      <c r="X2" s="186"/>
      <c r="Y2" s="186"/>
    </row>
    <row r="3" spans="1:28" ht="21.75" customHeight="1" thickBot="1" x14ac:dyDescent="0.35">
      <c r="A3" s="103"/>
      <c r="B3" s="94"/>
      <c r="C3" s="103"/>
      <c r="D3" s="104" t="s">
        <v>295</v>
      </c>
      <c r="E3" s="576" t="s">
        <v>52</v>
      </c>
      <c r="F3" s="576"/>
      <c r="G3" s="576"/>
      <c r="H3" s="576"/>
      <c r="I3" s="576"/>
      <c r="J3" s="577" t="s">
        <v>72</v>
      </c>
      <c r="K3" s="577"/>
      <c r="L3" s="94"/>
      <c r="M3" s="105" t="s">
        <v>63</v>
      </c>
      <c r="N3" s="106">
        <f>IF(ISBLANK(N2),"",VLOOKUP(N2,コース・距離,2,FALSE))</f>
        <v>26.6</v>
      </c>
      <c r="O3" s="107" t="s">
        <v>0</v>
      </c>
      <c r="P3" s="108">
        <v>5</v>
      </c>
      <c r="Q3" s="109" t="s">
        <v>1</v>
      </c>
      <c r="R3" s="94"/>
      <c r="S3" s="186" t="s">
        <v>193</v>
      </c>
      <c r="T3" s="186"/>
      <c r="U3" s="186"/>
      <c r="V3" s="187" t="s">
        <v>2</v>
      </c>
      <c r="W3" s="186"/>
      <c r="X3" s="186"/>
      <c r="Y3" s="186"/>
      <c r="Z3" s="188" t="s">
        <v>64</v>
      </c>
    </row>
    <row r="4" spans="1:28" ht="7.5" customHeight="1" thickBot="1" x14ac:dyDescent="0.3">
      <c r="A4" s="103"/>
      <c r="B4" s="94"/>
      <c r="C4" s="94"/>
      <c r="D4" s="94"/>
      <c r="E4" s="94"/>
      <c r="F4" s="94"/>
      <c r="G4" s="94"/>
      <c r="H4" s="94"/>
      <c r="I4" s="94"/>
      <c r="J4" s="94"/>
      <c r="K4" s="94"/>
      <c r="L4" s="94"/>
      <c r="M4" s="94"/>
      <c r="N4" s="94"/>
      <c r="O4" s="94"/>
      <c r="P4" s="94"/>
      <c r="Q4" s="94"/>
      <c r="R4" s="94"/>
      <c r="S4" s="186"/>
      <c r="T4" s="186"/>
      <c r="U4" s="186"/>
      <c r="V4" s="189"/>
      <c r="W4" s="186"/>
      <c r="X4" s="186"/>
      <c r="Y4" s="186"/>
    </row>
    <row r="5" spans="1:28" ht="14" x14ac:dyDescent="0.2">
      <c r="A5" s="103"/>
      <c r="B5" s="110" t="s">
        <v>3</v>
      </c>
      <c r="C5" s="111" t="s">
        <v>4</v>
      </c>
      <c r="D5" s="111" t="s">
        <v>5</v>
      </c>
      <c r="E5" s="111" t="s">
        <v>6</v>
      </c>
      <c r="F5" s="111" t="s">
        <v>7</v>
      </c>
      <c r="G5" s="111" t="s">
        <v>8</v>
      </c>
      <c r="H5" s="111" t="s">
        <v>9</v>
      </c>
      <c r="I5" s="111" t="s">
        <v>10</v>
      </c>
      <c r="J5" s="111" t="s">
        <v>11</v>
      </c>
      <c r="K5" s="111" t="s">
        <v>12</v>
      </c>
      <c r="L5" s="112" t="s">
        <v>205</v>
      </c>
      <c r="M5" s="112" t="s">
        <v>202</v>
      </c>
      <c r="N5" s="111" t="s">
        <v>59</v>
      </c>
      <c r="O5" s="111" t="s">
        <v>13</v>
      </c>
      <c r="P5" s="578" t="s">
        <v>58</v>
      </c>
      <c r="Q5" s="579"/>
      <c r="R5" s="183"/>
      <c r="S5" s="192" t="s">
        <v>10</v>
      </c>
      <c r="T5" s="190" t="s">
        <v>10</v>
      </c>
      <c r="U5" s="423" t="s">
        <v>10</v>
      </c>
      <c r="V5" s="486" t="s">
        <v>10</v>
      </c>
      <c r="W5" s="487" t="s">
        <v>10</v>
      </c>
      <c r="X5" s="488" t="s">
        <v>10</v>
      </c>
      <c r="Y5" s="191"/>
      <c r="Z5" s="192" t="s">
        <v>13</v>
      </c>
      <c r="AA5" s="190" t="s">
        <v>13</v>
      </c>
      <c r="AB5" s="193" t="s">
        <v>13</v>
      </c>
    </row>
    <row r="6" spans="1:28" ht="14" x14ac:dyDescent="0.2">
      <c r="A6" s="103"/>
      <c r="B6" s="113"/>
      <c r="C6" s="114" t="s">
        <v>14</v>
      </c>
      <c r="D6" s="483"/>
      <c r="E6" s="116"/>
      <c r="F6" s="116"/>
      <c r="G6" s="114" t="s">
        <v>16</v>
      </c>
      <c r="H6" s="116" t="s">
        <v>17</v>
      </c>
      <c r="I6" s="114" t="s">
        <v>191</v>
      </c>
      <c r="J6" s="116" t="s">
        <v>18</v>
      </c>
      <c r="K6" s="116" t="s">
        <v>17</v>
      </c>
      <c r="L6" s="114" t="s">
        <v>16</v>
      </c>
      <c r="M6" s="116" t="s">
        <v>34</v>
      </c>
      <c r="N6" s="116" t="s">
        <v>19</v>
      </c>
      <c r="O6" s="117" t="str">
        <f>"MAX=0"</f>
        <v>MAX=0</v>
      </c>
      <c r="P6" s="118" t="s">
        <v>333</v>
      </c>
      <c r="Q6" s="119"/>
      <c r="R6" s="184"/>
      <c r="S6" s="196" t="s">
        <v>20</v>
      </c>
      <c r="T6" s="194" t="s">
        <v>22</v>
      </c>
      <c r="U6" s="424" t="s">
        <v>21</v>
      </c>
      <c r="V6" s="489" t="s">
        <v>20</v>
      </c>
      <c r="W6" s="485" t="s">
        <v>22</v>
      </c>
      <c r="X6" s="490" t="s">
        <v>21</v>
      </c>
      <c r="Y6" s="195"/>
      <c r="Z6" s="196" t="s">
        <v>66</v>
      </c>
      <c r="AA6" s="194" t="s">
        <v>67</v>
      </c>
      <c r="AB6" s="197" t="s">
        <v>68</v>
      </c>
    </row>
    <row r="7" spans="1:28" ht="14" x14ac:dyDescent="0.2">
      <c r="A7" s="103"/>
      <c r="B7" s="120">
        <v>1</v>
      </c>
      <c r="C7" s="121">
        <v>2759</v>
      </c>
      <c r="D7" s="177" t="str">
        <f t="shared" ref="D7:D31" si="0">IF(ISBLANK(C7),"",VLOOKUP(C7,ランデブーレースＴＡ,2,FALSE))</f>
        <v>IXORA Ⅳ</v>
      </c>
      <c r="E7" s="215"/>
      <c r="F7" s="123">
        <v>1</v>
      </c>
      <c r="G7" s="124">
        <v>0.5528819444444445</v>
      </c>
      <c r="H7" s="121">
        <v>14599</v>
      </c>
      <c r="I7" s="125">
        <f t="shared" ref="I7:I23" si="1">IF($I$6="Ⅰ",V7,IF($I$6="Ⅱ",W7,IF($I$6="Ⅲ",X7,"")))</f>
        <v>565.70000000000005</v>
      </c>
      <c r="J7" s="123"/>
      <c r="K7" s="126">
        <f t="shared" ref="K7:K23" si="2">IFERROR(H7*(1+0.01*J7)-I7*$N$3,"")</f>
        <v>-448.62000000000262</v>
      </c>
      <c r="L7" s="124">
        <f t="shared" ref="L7:L23" si="3">IFERROR((K7-$K$7)/86400,"")</f>
        <v>0</v>
      </c>
      <c r="M7" s="127">
        <f t="shared" ref="M7:M23" si="4">IFERROR((K7-$K$7)/$N$3,"")</f>
        <v>0</v>
      </c>
      <c r="N7" s="128">
        <f t="shared" ref="N7:N23" si="5">IFERROR($N$3/(H7/3600),"")</f>
        <v>6.5593533803685196</v>
      </c>
      <c r="O7" s="129"/>
      <c r="P7" s="124">
        <v>0.38391203703703702</v>
      </c>
      <c r="Q7" s="130"/>
      <c r="R7" s="183"/>
      <c r="S7" s="199" t="e">
        <f t="shared" ref="S7:S31" si="6">IF(ISBLANK(C7),"",VLOOKUP(C7,各艇データ,3,FALSE))</f>
        <v>#REF!</v>
      </c>
      <c r="T7" s="200" t="e">
        <f t="shared" ref="T7:T31" si="7">IF(ISBLANK(C7),"",VLOOKUP(C7,各艇データ,4,FALSE))</f>
        <v>#REF!</v>
      </c>
      <c r="U7" s="425" t="e">
        <f t="shared" ref="U7:U31" si="8">IF(ISBLANK(C7),"",VLOOKUP(C7,各艇データ,5,FALSE))</f>
        <v>#REF!</v>
      </c>
      <c r="V7" s="491">
        <f t="shared" ref="V7:V31" si="9">IF(ISBLANK(C7),"",VLOOKUP(C7,ランデブーレースＴＡ,3,FALSE))</f>
        <v>831.15</v>
      </c>
      <c r="W7" s="418">
        <f t="shared" ref="W7:W31" si="10">IF(ISBLANK(C7),"",VLOOKUP(C7,ランデブーレースＴＡ,4,FALSE))</f>
        <v>565.70000000000005</v>
      </c>
      <c r="X7" s="431">
        <f t="shared" ref="X7:X31" si="11">IF(ISBLANK(C7),"",VLOOKUP(C7,ランデブーレースＴＡ,5,FALSE))</f>
        <v>508.8</v>
      </c>
      <c r="Y7" s="191"/>
      <c r="Z7" s="203">
        <f>IF(ISBLANK(B7),"",IFERROR(20*($P$3+1-$B7)/$P$3,"20.0"))</f>
        <v>20</v>
      </c>
      <c r="AA7" s="198">
        <f>IF(ISBLANK(B7),"",IFERROR(30*($P$3+1-$B7)/$P$3,"30.0"))</f>
        <v>30</v>
      </c>
      <c r="AB7" s="204">
        <f>IF(ISBLANK(B7),"",IFERROR(30*($P$3-$B7)/($P$3-1)+10,"20.0"))</f>
        <v>40</v>
      </c>
    </row>
    <row r="8" spans="1:28" ht="14" x14ac:dyDescent="0.2">
      <c r="A8" s="103"/>
      <c r="B8" s="131">
        <v>2</v>
      </c>
      <c r="C8" s="132">
        <v>1733</v>
      </c>
      <c r="D8" s="177" t="str">
        <f t="shared" si="0"/>
        <v>ケロニア</v>
      </c>
      <c r="E8" s="216"/>
      <c r="F8" s="134">
        <v>2</v>
      </c>
      <c r="G8" s="135">
        <v>0.55932870370370369</v>
      </c>
      <c r="H8" s="132">
        <v>15001</v>
      </c>
      <c r="I8" s="136">
        <f t="shared" si="1"/>
        <v>559.9</v>
      </c>
      <c r="J8" s="134"/>
      <c r="K8" s="137">
        <f t="shared" si="2"/>
        <v>107.65999999999985</v>
      </c>
      <c r="L8" s="135">
        <f t="shared" si="3"/>
        <v>6.4384259259259542E-3</v>
      </c>
      <c r="M8" s="138">
        <f t="shared" si="4"/>
        <v>20.912781954887311</v>
      </c>
      <c r="N8" s="139">
        <f t="shared" si="5"/>
        <v>6.3835744283714417</v>
      </c>
      <c r="O8" s="140"/>
      <c r="P8" s="135">
        <v>0.38570601851851855</v>
      </c>
      <c r="Q8" s="142"/>
      <c r="R8" s="183"/>
      <c r="S8" s="199" t="e">
        <f t="shared" si="6"/>
        <v>#REF!</v>
      </c>
      <c r="T8" s="200" t="e">
        <f t="shared" si="7"/>
        <v>#REF!</v>
      </c>
      <c r="U8" s="425" t="e">
        <f t="shared" si="8"/>
        <v>#REF!</v>
      </c>
      <c r="V8" s="491">
        <f t="shared" si="9"/>
        <v>852.05</v>
      </c>
      <c r="W8" s="418">
        <f t="shared" si="10"/>
        <v>559.9</v>
      </c>
      <c r="X8" s="431">
        <f t="shared" si="11"/>
        <v>501.85</v>
      </c>
      <c r="Y8" s="191"/>
      <c r="Z8" s="203">
        <f t="shared" ref="Z8:Z31" si="12">IF(ISBLANK(B8),"",IFERROR(20*($P$3+1-$B8)/$P$3,"20.0"))</f>
        <v>16</v>
      </c>
      <c r="AA8" s="198">
        <f t="shared" ref="AA8:AA31" si="13">IF(ISBLANK(B8),"",IFERROR(30*($P$3+1-$B8)/$P$3,"30.0"))</f>
        <v>24</v>
      </c>
      <c r="AB8" s="204">
        <f t="shared" ref="AB8:AB31" si="14">IF(ISBLANK(B8),"",IFERROR(30*($P$3-$B8)/($P$3-1)+10,"20.0"))</f>
        <v>32.5</v>
      </c>
    </row>
    <row r="9" spans="1:28" ht="14" x14ac:dyDescent="0.2">
      <c r="A9" s="103"/>
      <c r="B9" s="131">
        <v>3</v>
      </c>
      <c r="C9" s="132">
        <v>346</v>
      </c>
      <c r="D9" s="177" t="str">
        <f t="shared" si="0"/>
        <v>飛車角</v>
      </c>
      <c r="E9" s="216"/>
      <c r="F9" s="134">
        <v>3</v>
      </c>
      <c r="G9" s="135">
        <v>0.56405092592592587</v>
      </c>
      <c r="H9" s="132">
        <v>15608</v>
      </c>
      <c r="I9" s="136">
        <f t="shared" si="1"/>
        <v>567.375</v>
      </c>
      <c r="J9" s="134"/>
      <c r="K9" s="137">
        <f t="shared" si="2"/>
        <v>515.82499999999891</v>
      </c>
      <c r="L9" s="135">
        <f t="shared" si="3"/>
        <v>1.1162557870370389E-2</v>
      </c>
      <c r="M9" s="138">
        <f t="shared" si="4"/>
        <v>36.257330827067726</v>
      </c>
      <c r="N9" s="139">
        <f t="shared" si="5"/>
        <v>6.1353152229625838</v>
      </c>
      <c r="O9" s="140"/>
      <c r="P9" s="135">
        <v>0.38340277777777776</v>
      </c>
      <c r="Q9" s="142"/>
      <c r="R9" s="183"/>
      <c r="S9" s="199" t="e">
        <f t="shared" si="6"/>
        <v>#REF!</v>
      </c>
      <c r="T9" s="200" t="e">
        <f t="shared" si="7"/>
        <v>#REF!</v>
      </c>
      <c r="U9" s="425" t="e">
        <f t="shared" si="8"/>
        <v>#REF!</v>
      </c>
      <c r="V9" s="491">
        <f t="shared" si="9"/>
        <v>849.85</v>
      </c>
      <c r="W9" s="418">
        <f t="shared" si="10"/>
        <v>567.375</v>
      </c>
      <c r="X9" s="431">
        <f t="shared" si="11"/>
        <v>519.29999999999995</v>
      </c>
      <c r="Y9" s="191"/>
      <c r="Z9" s="203">
        <f t="shared" si="12"/>
        <v>12</v>
      </c>
      <c r="AA9" s="198">
        <f t="shared" si="13"/>
        <v>18</v>
      </c>
      <c r="AB9" s="204">
        <f t="shared" si="14"/>
        <v>25</v>
      </c>
    </row>
    <row r="10" spans="1:28" ht="14" x14ac:dyDescent="0.2">
      <c r="A10" s="103"/>
      <c r="B10" s="131">
        <v>4</v>
      </c>
      <c r="C10" s="132">
        <v>6732</v>
      </c>
      <c r="D10" s="177" t="str">
        <f t="shared" si="0"/>
        <v>アイデアル</v>
      </c>
      <c r="E10" s="216"/>
      <c r="F10" s="134">
        <v>4</v>
      </c>
      <c r="G10" s="135">
        <v>0.57118055555555558</v>
      </c>
      <c r="H10" s="132">
        <v>16347</v>
      </c>
      <c r="I10" s="136">
        <f t="shared" si="1"/>
        <v>571.993913255998</v>
      </c>
      <c r="J10" s="134"/>
      <c r="K10" s="137">
        <f t="shared" si="2"/>
        <v>1131.9619073904523</v>
      </c>
      <c r="L10" s="135">
        <f t="shared" si="3"/>
        <v>1.8293772076278414E-2</v>
      </c>
      <c r="M10" s="138">
        <f t="shared" si="4"/>
        <v>59.42037245828778</v>
      </c>
      <c r="N10" s="139">
        <f t="shared" si="5"/>
        <v>5.8579555881813175</v>
      </c>
      <c r="O10" s="140"/>
      <c r="P10" s="135">
        <v>0.38197916666666665</v>
      </c>
      <c r="Q10" s="142"/>
      <c r="R10" s="183"/>
      <c r="S10" s="199" t="e">
        <f t="shared" si="6"/>
        <v>#REF!</v>
      </c>
      <c r="T10" s="200" t="e">
        <f t="shared" si="7"/>
        <v>#REF!</v>
      </c>
      <c r="U10" s="425" t="e">
        <f t="shared" si="8"/>
        <v>#REF!</v>
      </c>
      <c r="V10" s="491">
        <f t="shared" si="9"/>
        <v>855.39381721722395</v>
      </c>
      <c r="W10" s="418">
        <f t="shared" si="10"/>
        <v>571.993913255998</v>
      </c>
      <c r="X10" s="431">
        <f t="shared" si="11"/>
        <v>520.62384764970795</v>
      </c>
      <c r="Y10" s="191"/>
      <c r="Z10" s="203">
        <f t="shared" si="12"/>
        <v>8</v>
      </c>
      <c r="AA10" s="198">
        <f t="shared" si="13"/>
        <v>12</v>
      </c>
      <c r="AB10" s="204">
        <f t="shared" si="14"/>
        <v>17.5</v>
      </c>
    </row>
    <row r="11" spans="1:28" ht="14" x14ac:dyDescent="0.2">
      <c r="A11" s="103"/>
      <c r="B11" s="143">
        <v>5</v>
      </c>
      <c r="C11" s="144">
        <v>7014</v>
      </c>
      <c r="D11" s="145" t="str">
        <f t="shared" si="0"/>
        <v>CYNTHIA Ⅳ</v>
      </c>
      <c r="E11" s="217"/>
      <c r="F11" s="146">
        <v>5</v>
      </c>
      <c r="G11" s="147">
        <v>0.5746296296296296</v>
      </c>
      <c r="H11" s="148">
        <v>18041</v>
      </c>
      <c r="I11" s="149">
        <f t="shared" si="1"/>
        <v>624.47500000000002</v>
      </c>
      <c r="J11" s="150"/>
      <c r="K11" s="151">
        <f t="shared" si="2"/>
        <v>1429.9650000000001</v>
      </c>
      <c r="L11" s="152">
        <f t="shared" si="3"/>
        <v>2.1742881944444476E-2</v>
      </c>
      <c r="M11" s="153">
        <f t="shared" si="4"/>
        <v>70.623496240601611</v>
      </c>
      <c r="N11" s="154">
        <f t="shared" si="5"/>
        <v>5.3079097610997179</v>
      </c>
      <c r="O11" s="155"/>
      <c r="P11" s="147">
        <v>0.36582175925925925</v>
      </c>
      <c r="Q11" s="157"/>
      <c r="R11" s="183"/>
      <c r="S11" s="199" t="e">
        <f t="shared" si="6"/>
        <v>#REF!</v>
      </c>
      <c r="T11" s="200" t="e">
        <f t="shared" si="7"/>
        <v>#REF!</v>
      </c>
      <c r="U11" s="425" t="e">
        <f t="shared" si="8"/>
        <v>#REF!</v>
      </c>
      <c r="V11" s="491">
        <f t="shared" si="9"/>
        <v>993.75</v>
      </c>
      <c r="W11" s="418">
        <f t="shared" si="10"/>
        <v>624.47500000000002</v>
      </c>
      <c r="X11" s="431">
        <f t="shared" si="11"/>
        <v>555.95000000000005</v>
      </c>
      <c r="Y11" s="191"/>
      <c r="Z11" s="203">
        <f t="shared" si="12"/>
        <v>4</v>
      </c>
      <c r="AA11" s="198">
        <f t="shared" si="13"/>
        <v>6</v>
      </c>
      <c r="AB11" s="204">
        <f t="shared" si="14"/>
        <v>10</v>
      </c>
    </row>
    <row r="12" spans="1:28" ht="14" x14ac:dyDescent="0.2">
      <c r="A12" s="103"/>
      <c r="B12" s="120">
        <v>6</v>
      </c>
      <c r="C12" s="121"/>
      <c r="D12" s="177" t="str">
        <f t="shared" si="0"/>
        <v/>
      </c>
      <c r="E12" s="215"/>
      <c r="F12" s="123">
        <v>6</v>
      </c>
      <c r="G12" s="124"/>
      <c r="H12" s="121" t="str">
        <f t="shared" ref="H12:H23" si="15">IFERROR(IF(G12-$Q$2&lt;=0,"",(G12-$Q$2)*86400),"")</f>
        <v/>
      </c>
      <c r="I12" s="125" t="str">
        <f t="shared" si="1"/>
        <v/>
      </c>
      <c r="J12" s="123"/>
      <c r="K12" s="126" t="str">
        <f t="shared" si="2"/>
        <v/>
      </c>
      <c r="L12" s="124" t="str">
        <f t="shared" si="3"/>
        <v/>
      </c>
      <c r="M12" s="127" t="str">
        <f t="shared" si="4"/>
        <v/>
      </c>
      <c r="N12" s="128" t="str">
        <f t="shared" si="5"/>
        <v/>
      </c>
      <c r="O12" s="129"/>
      <c r="P12" s="332"/>
      <c r="Q12" s="130"/>
      <c r="R12" s="183"/>
      <c r="S12" s="199" t="str">
        <f t="shared" si="6"/>
        <v/>
      </c>
      <c r="T12" s="200" t="str">
        <f t="shared" si="7"/>
        <v/>
      </c>
      <c r="U12" s="425" t="str">
        <f t="shared" si="8"/>
        <v/>
      </c>
      <c r="V12" s="491" t="str">
        <f t="shared" si="9"/>
        <v/>
      </c>
      <c r="W12" s="418" t="str">
        <f t="shared" si="10"/>
        <v/>
      </c>
      <c r="X12" s="431" t="str">
        <f t="shared" si="11"/>
        <v/>
      </c>
      <c r="Y12" s="191"/>
      <c r="Z12" s="203">
        <f t="shared" si="12"/>
        <v>0</v>
      </c>
      <c r="AA12" s="198">
        <f t="shared" si="13"/>
        <v>0</v>
      </c>
      <c r="AB12" s="204">
        <f t="shared" si="14"/>
        <v>2.5</v>
      </c>
    </row>
    <row r="13" spans="1:28" ht="14" x14ac:dyDescent="0.2">
      <c r="A13" s="103"/>
      <c r="B13" s="131">
        <v>7</v>
      </c>
      <c r="C13" s="132"/>
      <c r="D13" s="177" t="str">
        <f t="shared" si="0"/>
        <v/>
      </c>
      <c r="E13" s="216"/>
      <c r="F13" s="134">
        <v>7</v>
      </c>
      <c r="G13" s="135"/>
      <c r="H13" s="132" t="str">
        <f t="shared" si="15"/>
        <v/>
      </c>
      <c r="I13" s="136" t="str">
        <f t="shared" si="1"/>
        <v/>
      </c>
      <c r="J13" s="134"/>
      <c r="K13" s="137" t="str">
        <f t="shared" si="2"/>
        <v/>
      </c>
      <c r="L13" s="135" t="str">
        <f t="shared" si="3"/>
        <v/>
      </c>
      <c r="M13" s="138" t="str">
        <f t="shared" si="4"/>
        <v/>
      </c>
      <c r="N13" s="139" t="str">
        <f t="shared" si="5"/>
        <v/>
      </c>
      <c r="O13" s="140"/>
      <c r="P13" s="141"/>
      <c r="Q13" s="142"/>
      <c r="R13" s="183"/>
      <c r="S13" s="199" t="str">
        <f t="shared" si="6"/>
        <v/>
      </c>
      <c r="T13" s="200" t="str">
        <f t="shared" si="7"/>
        <v/>
      </c>
      <c r="U13" s="425" t="str">
        <f t="shared" si="8"/>
        <v/>
      </c>
      <c r="V13" s="491" t="str">
        <f t="shared" si="9"/>
        <v/>
      </c>
      <c r="W13" s="418" t="str">
        <f t="shared" si="10"/>
        <v/>
      </c>
      <c r="X13" s="431" t="str">
        <f t="shared" si="11"/>
        <v/>
      </c>
      <c r="Y13" s="191"/>
      <c r="Z13" s="203">
        <f t="shared" si="12"/>
        <v>-4</v>
      </c>
      <c r="AA13" s="198">
        <f t="shared" si="13"/>
        <v>-6</v>
      </c>
      <c r="AB13" s="204">
        <f t="shared" si="14"/>
        <v>-5</v>
      </c>
    </row>
    <row r="14" spans="1:28" ht="14" x14ac:dyDescent="0.2">
      <c r="A14" s="103"/>
      <c r="B14" s="131">
        <v>8</v>
      </c>
      <c r="C14" s="132"/>
      <c r="D14" s="177" t="str">
        <f t="shared" si="0"/>
        <v/>
      </c>
      <c r="E14" s="216"/>
      <c r="F14" s="134">
        <v>8</v>
      </c>
      <c r="G14" s="135"/>
      <c r="H14" s="132" t="str">
        <f t="shared" si="15"/>
        <v/>
      </c>
      <c r="I14" s="136" t="str">
        <f t="shared" si="1"/>
        <v/>
      </c>
      <c r="J14" s="134"/>
      <c r="K14" s="137" t="str">
        <f t="shared" si="2"/>
        <v/>
      </c>
      <c r="L14" s="135" t="str">
        <f t="shared" si="3"/>
        <v/>
      </c>
      <c r="M14" s="138" t="str">
        <f t="shared" si="4"/>
        <v/>
      </c>
      <c r="N14" s="139" t="str">
        <f t="shared" si="5"/>
        <v/>
      </c>
      <c r="O14" s="140"/>
      <c r="P14" s="174"/>
      <c r="Q14" s="142"/>
      <c r="R14" s="183"/>
      <c r="S14" s="199" t="str">
        <f t="shared" si="6"/>
        <v/>
      </c>
      <c r="T14" s="200" t="str">
        <f t="shared" si="7"/>
        <v/>
      </c>
      <c r="U14" s="425" t="str">
        <f t="shared" si="8"/>
        <v/>
      </c>
      <c r="V14" s="491" t="str">
        <f t="shared" si="9"/>
        <v/>
      </c>
      <c r="W14" s="418" t="str">
        <f t="shared" si="10"/>
        <v/>
      </c>
      <c r="X14" s="431" t="str">
        <f t="shared" si="11"/>
        <v/>
      </c>
      <c r="Y14" s="191"/>
      <c r="Z14" s="203">
        <f t="shared" si="12"/>
        <v>-8</v>
      </c>
      <c r="AA14" s="198">
        <f t="shared" si="13"/>
        <v>-12</v>
      </c>
      <c r="AB14" s="204">
        <f t="shared" si="14"/>
        <v>-12.5</v>
      </c>
    </row>
    <row r="15" spans="1:28" ht="14" x14ac:dyDescent="0.2">
      <c r="A15" s="103"/>
      <c r="B15" s="131">
        <v>9</v>
      </c>
      <c r="C15" s="132"/>
      <c r="D15" s="177" t="str">
        <f t="shared" si="0"/>
        <v/>
      </c>
      <c r="E15" s="216"/>
      <c r="F15" s="134">
        <v>9</v>
      </c>
      <c r="G15" s="135"/>
      <c r="H15" s="132" t="str">
        <f t="shared" si="15"/>
        <v/>
      </c>
      <c r="I15" s="136" t="str">
        <f t="shared" si="1"/>
        <v/>
      </c>
      <c r="J15" s="134"/>
      <c r="K15" s="137" t="str">
        <f t="shared" si="2"/>
        <v/>
      </c>
      <c r="L15" s="135" t="str">
        <f t="shared" si="3"/>
        <v/>
      </c>
      <c r="M15" s="138" t="str">
        <f t="shared" si="4"/>
        <v/>
      </c>
      <c r="N15" s="139" t="str">
        <f t="shared" si="5"/>
        <v/>
      </c>
      <c r="O15" s="140"/>
      <c r="P15" s="333"/>
      <c r="Q15" s="142"/>
      <c r="R15" s="183"/>
      <c r="S15" s="199" t="str">
        <f t="shared" si="6"/>
        <v/>
      </c>
      <c r="T15" s="200" t="str">
        <f t="shared" si="7"/>
        <v/>
      </c>
      <c r="U15" s="425" t="str">
        <f t="shared" si="8"/>
        <v/>
      </c>
      <c r="V15" s="491" t="str">
        <f t="shared" si="9"/>
        <v/>
      </c>
      <c r="W15" s="418" t="str">
        <f t="shared" si="10"/>
        <v/>
      </c>
      <c r="X15" s="431" t="str">
        <f t="shared" si="11"/>
        <v/>
      </c>
      <c r="Y15" s="191"/>
      <c r="Z15" s="203">
        <f t="shared" si="12"/>
        <v>-12</v>
      </c>
      <c r="AA15" s="198">
        <f t="shared" si="13"/>
        <v>-18</v>
      </c>
      <c r="AB15" s="204">
        <f t="shared" si="14"/>
        <v>-20</v>
      </c>
    </row>
    <row r="16" spans="1:28" ht="14" x14ac:dyDescent="0.2">
      <c r="A16" s="103"/>
      <c r="B16" s="143">
        <v>10</v>
      </c>
      <c r="C16" s="144"/>
      <c r="D16" s="145" t="str">
        <f t="shared" si="0"/>
        <v/>
      </c>
      <c r="E16" s="217"/>
      <c r="F16" s="146">
        <v>10</v>
      </c>
      <c r="G16" s="147"/>
      <c r="H16" s="144" t="str">
        <f t="shared" si="15"/>
        <v/>
      </c>
      <c r="I16" s="158" t="str">
        <f t="shared" si="1"/>
        <v/>
      </c>
      <c r="J16" s="146"/>
      <c r="K16" s="160" t="str">
        <f t="shared" si="2"/>
        <v/>
      </c>
      <c r="L16" s="147" t="str">
        <f t="shared" si="3"/>
        <v/>
      </c>
      <c r="M16" s="161" t="str">
        <f t="shared" si="4"/>
        <v/>
      </c>
      <c r="N16" s="162" t="str">
        <f t="shared" si="5"/>
        <v/>
      </c>
      <c r="O16" s="163"/>
      <c r="P16" s="210"/>
      <c r="Q16" s="157"/>
      <c r="R16" s="183"/>
      <c r="S16" s="199" t="str">
        <f t="shared" si="6"/>
        <v/>
      </c>
      <c r="T16" s="200" t="str">
        <f t="shared" si="7"/>
        <v/>
      </c>
      <c r="U16" s="425" t="str">
        <f t="shared" si="8"/>
        <v/>
      </c>
      <c r="V16" s="491" t="str">
        <f t="shared" si="9"/>
        <v/>
      </c>
      <c r="W16" s="418" t="str">
        <f t="shared" si="10"/>
        <v/>
      </c>
      <c r="X16" s="431" t="str">
        <f t="shared" si="11"/>
        <v/>
      </c>
      <c r="Y16" s="191"/>
      <c r="Z16" s="203">
        <f t="shared" si="12"/>
        <v>-16</v>
      </c>
      <c r="AA16" s="198">
        <f t="shared" si="13"/>
        <v>-24</v>
      </c>
      <c r="AB16" s="204">
        <f t="shared" si="14"/>
        <v>-27.5</v>
      </c>
    </row>
    <row r="17" spans="1:28" ht="14" x14ac:dyDescent="0.2">
      <c r="A17" s="103"/>
      <c r="B17" s="120">
        <v>11</v>
      </c>
      <c r="C17" s="121"/>
      <c r="D17" s="177" t="str">
        <f t="shared" si="0"/>
        <v/>
      </c>
      <c r="E17" s="215"/>
      <c r="F17" s="123">
        <v>11</v>
      </c>
      <c r="G17" s="124"/>
      <c r="H17" s="164" t="str">
        <f t="shared" si="15"/>
        <v/>
      </c>
      <c r="I17" s="165" t="str">
        <f t="shared" si="1"/>
        <v/>
      </c>
      <c r="J17" s="330"/>
      <c r="K17" s="167" t="str">
        <f t="shared" si="2"/>
        <v/>
      </c>
      <c r="L17" s="168" t="str">
        <f t="shared" si="3"/>
        <v/>
      </c>
      <c r="M17" s="169" t="str">
        <f t="shared" si="4"/>
        <v/>
      </c>
      <c r="N17" s="170" t="str">
        <f t="shared" si="5"/>
        <v/>
      </c>
      <c r="O17" s="129"/>
      <c r="P17" s="214"/>
      <c r="Q17" s="130"/>
      <c r="R17" s="183"/>
      <c r="S17" s="199" t="str">
        <f t="shared" si="6"/>
        <v/>
      </c>
      <c r="T17" s="200" t="str">
        <f t="shared" si="7"/>
        <v/>
      </c>
      <c r="U17" s="425" t="str">
        <f t="shared" si="8"/>
        <v/>
      </c>
      <c r="V17" s="491" t="str">
        <f t="shared" si="9"/>
        <v/>
      </c>
      <c r="W17" s="418" t="str">
        <f t="shared" si="10"/>
        <v/>
      </c>
      <c r="X17" s="431" t="str">
        <f t="shared" si="11"/>
        <v/>
      </c>
      <c r="Y17" s="191"/>
      <c r="Z17" s="203">
        <f t="shared" si="12"/>
        <v>-20</v>
      </c>
      <c r="AA17" s="198">
        <f t="shared" si="13"/>
        <v>-30</v>
      </c>
      <c r="AB17" s="204">
        <f t="shared" si="14"/>
        <v>-35</v>
      </c>
    </row>
    <row r="18" spans="1:28" ht="14" x14ac:dyDescent="0.2">
      <c r="A18" s="103"/>
      <c r="B18" s="131">
        <v>12</v>
      </c>
      <c r="C18" s="132"/>
      <c r="D18" s="177" t="str">
        <f t="shared" si="0"/>
        <v/>
      </c>
      <c r="E18" s="216"/>
      <c r="F18" s="134">
        <v>12</v>
      </c>
      <c r="G18" s="135"/>
      <c r="H18" s="132" t="str">
        <f t="shared" si="15"/>
        <v/>
      </c>
      <c r="I18" s="136" t="str">
        <f t="shared" si="1"/>
        <v/>
      </c>
      <c r="J18" s="209"/>
      <c r="K18" s="137" t="str">
        <f t="shared" si="2"/>
        <v/>
      </c>
      <c r="L18" s="135" t="str">
        <f t="shared" si="3"/>
        <v/>
      </c>
      <c r="M18" s="138" t="str">
        <f t="shared" si="4"/>
        <v/>
      </c>
      <c r="N18" s="139" t="str">
        <f t="shared" si="5"/>
        <v/>
      </c>
      <c r="O18" s="140"/>
      <c r="P18" s="174"/>
      <c r="Q18" s="142"/>
      <c r="R18" s="183"/>
      <c r="S18" s="199" t="str">
        <f t="shared" si="6"/>
        <v/>
      </c>
      <c r="T18" s="200" t="str">
        <f t="shared" si="7"/>
        <v/>
      </c>
      <c r="U18" s="425" t="str">
        <f t="shared" si="8"/>
        <v/>
      </c>
      <c r="V18" s="491" t="str">
        <f t="shared" si="9"/>
        <v/>
      </c>
      <c r="W18" s="418" t="str">
        <f t="shared" si="10"/>
        <v/>
      </c>
      <c r="X18" s="431" t="str">
        <f t="shared" si="11"/>
        <v/>
      </c>
      <c r="Y18" s="191"/>
      <c r="Z18" s="203">
        <f t="shared" si="12"/>
        <v>-24</v>
      </c>
      <c r="AA18" s="198">
        <f t="shared" si="13"/>
        <v>-36</v>
      </c>
      <c r="AB18" s="204">
        <f t="shared" si="14"/>
        <v>-42.5</v>
      </c>
    </row>
    <row r="19" spans="1:28" ht="14" x14ac:dyDescent="0.2">
      <c r="A19" s="103"/>
      <c r="B19" s="131">
        <v>13</v>
      </c>
      <c r="C19" s="132"/>
      <c r="D19" s="177" t="str">
        <f t="shared" si="0"/>
        <v/>
      </c>
      <c r="E19" s="216"/>
      <c r="F19" s="134">
        <v>13</v>
      </c>
      <c r="G19" s="135"/>
      <c r="H19" s="132" t="str">
        <f t="shared" si="15"/>
        <v/>
      </c>
      <c r="I19" s="136" t="str">
        <f t="shared" si="1"/>
        <v/>
      </c>
      <c r="J19" s="134"/>
      <c r="K19" s="137" t="str">
        <f t="shared" si="2"/>
        <v/>
      </c>
      <c r="L19" s="135" t="str">
        <f t="shared" si="3"/>
        <v/>
      </c>
      <c r="M19" s="138" t="str">
        <f t="shared" si="4"/>
        <v/>
      </c>
      <c r="N19" s="139" t="str">
        <f t="shared" si="5"/>
        <v/>
      </c>
      <c r="O19" s="140"/>
      <c r="P19" s="174"/>
      <c r="Q19" s="142"/>
      <c r="R19" s="183"/>
      <c r="S19" s="199" t="str">
        <f t="shared" si="6"/>
        <v/>
      </c>
      <c r="T19" s="200" t="str">
        <f t="shared" si="7"/>
        <v/>
      </c>
      <c r="U19" s="425" t="str">
        <f t="shared" si="8"/>
        <v/>
      </c>
      <c r="V19" s="491" t="str">
        <f t="shared" si="9"/>
        <v/>
      </c>
      <c r="W19" s="418" t="str">
        <f t="shared" si="10"/>
        <v/>
      </c>
      <c r="X19" s="431" t="str">
        <f t="shared" si="11"/>
        <v/>
      </c>
      <c r="Y19" s="191"/>
      <c r="Z19" s="203">
        <f t="shared" si="12"/>
        <v>-28</v>
      </c>
      <c r="AA19" s="198">
        <f t="shared" si="13"/>
        <v>-42</v>
      </c>
      <c r="AB19" s="204">
        <f t="shared" si="14"/>
        <v>-50</v>
      </c>
    </row>
    <row r="20" spans="1:28" ht="14" x14ac:dyDescent="0.2">
      <c r="A20" s="103"/>
      <c r="B20" s="131">
        <v>14</v>
      </c>
      <c r="C20" s="132"/>
      <c r="D20" s="177" t="str">
        <f t="shared" si="0"/>
        <v/>
      </c>
      <c r="E20" s="216"/>
      <c r="F20" s="134">
        <v>14</v>
      </c>
      <c r="G20" s="135"/>
      <c r="H20" s="132" t="str">
        <f t="shared" si="15"/>
        <v/>
      </c>
      <c r="I20" s="136" t="str">
        <f t="shared" si="1"/>
        <v/>
      </c>
      <c r="J20" s="209"/>
      <c r="K20" s="137" t="str">
        <f t="shared" si="2"/>
        <v/>
      </c>
      <c r="L20" s="135" t="str">
        <f t="shared" si="3"/>
        <v/>
      </c>
      <c r="M20" s="138" t="str">
        <f t="shared" si="4"/>
        <v/>
      </c>
      <c r="N20" s="139" t="str">
        <f t="shared" si="5"/>
        <v/>
      </c>
      <c r="O20" s="140"/>
      <c r="P20" s="334"/>
      <c r="Q20" s="142"/>
      <c r="R20" s="183"/>
      <c r="S20" s="199" t="str">
        <f t="shared" si="6"/>
        <v/>
      </c>
      <c r="T20" s="200" t="str">
        <f t="shared" si="7"/>
        <v/>
      </c>
      <c r="U20" s="425" t="str">
        <f t="shared" si="8"/>
        <v/>
      </c>
      <c r="V20" s="491" t="str">
        <f t="shared" si="9"/>
        <v/>
      </c>
      <c r="W20" s="418" t="str">
        <f t="shared" si="10"/>
        <v/>
      </c>
      <c r="X20" s="431" t="str">
        <f t="shared" si="11"/>
        <v/>
      </c>
      <c r="Y20" s="191"/>
      <c r="Z20" s="203">
        <f t="shared" si="12"/>
        <v>-32</v>
      </c>
      <c r="AA20" s="198">
        <f t="shared" si="13"/>
        <v>-48</v>
      </c>
      <c r="AB20" s="204">
        <f t="shared" si="14"/>
        <v>-57.5</v>
      </c>
    </row>
    <row r="21" spans="1:28" ht="14" x14ac:dyDescent="0.2">
      <c r="A21" s="103"/>
      <c r="B21" s="143">
        <v>15</v>
      </c>
      <c r="C21" s="336"/>
      <c r="D21" s="145" t="str">
        <f t="shared" si="0"/>
        <v/>
      </c>
      <c r="E21" s="146"/>
      <c r="F21" s="146">
        <v>15</v>
      </c>
      <c r="G21" s="147"/>
      <c r="H21" s="144" t="str">
        <f t="shared" si="15"/>
        <v/>
      </c>
      <c r="I21" s="158" t="str">
        <f t="shared" si="1"/>
        <v/>
      </c>
      <c r="J21" s="146"/>
      <c r="K21" s="160" t="str">
        <f t="shared" si="2"/>
        <v/>
      </c>
      <c r="L21" s="147" t="str">
        <f t="shared" si="3"/>
        <v/>
      </c>
      <c r="M21" s="161" t="str">
        <f t="shared" si="4"/>
        <v/>
      </c>
      <c r="N21" s="162" t="str">
        <f t="shared" si="5"/>
        <v/>
      </c>
      <c r="O21" s="163"/>
      <c r="P21" s="210"/>
      <c r="Q21" s="157"/>
      <c r="R21" s="183"/>
      <c r="S21" s="199" t="str">
        <f t="shared" si="6"/>
        <v/>
      </c>
      <c r="T21" s="200" t="str">
        <f t="shared" si="7"/>
        <v/>
      </c>
      <c r="U21" s="425" t="str">
        <f t="shared" si="8"/>
        <v/>
      </c>
      <c r="V21" s="491" t="str">
        <f t="shared" si="9"/>
        <v/>
      </c>
      <c r="W21" s="418" t="str">
        <f t="shared" si="10"/>
        <v/>
      </c>
      <c r="X21" s="431" t="str">
        <f t="shared" si="11"/>
        <v/>
      </c>
      <c r="Y21" s="191"/>
      <c r="Z21" s="203">
        <f t="shared" si="12"/>
        <v>-36</v>
      </c>
      <c r="AA21" s="198">
        <f t="shared" si="13"/>
        <v>-54</v>
      </c>
      <c r="AB21" s="204">
        <f t="shared" si="14"/>
        <v>-65</v>
      </c>
    </row>
    <row r="22" spans="1:28" ht="14" x14ac:dyDescent="0.2">
      <c r="A22" s="103"/>
      <c r="B22" s="172">
        <v>16</v>
      </c>
      <c r="C22" s="164"/>
      <c r="D22" s="177" t="str">
        <f t="shared" si="0"/>
        <v/>
      </c>
      <c r="E22" s="337"/>
      <c r="F22" s="166">
        <v>16</v>
      </c>
      <c r="G22" s="168"/>
      <c r="H22" s="164" t="str">
        <f t="shared" si="15"/>
        <v/>
      </c>
      <c r="I22" s="165" t="str">
        <f t="shared" si="1"/>
        <v/>
      </c>
      <c r="J22" s="330"/>
      <c r="K22" s="167" t="str">
        <f t="shared" si="2"/>
        <v/>
      </c>
      <c r="L22" s="168" t="str">
        <f t="shared" si="3"/>
        <v/>
      </c>
      <c r="M22" s="169" t="str">
        <f t="shared" si="4"/>
        <v/>
      </c>
      <c r="N22" s="170" t="str">
        <f t="shared" si="5"/>
        <v/>
      </c>
      <c r="O22" s="171"/>
      <c r="P22" s="335"/>
      <c r="Q22" s="173"/>
      <c r="R22" s="183"/>
      <c r="S22" s="199" t="str">
        <f t="shared" si="6"/>
        <v/>
      </c>
      <c r="T22" s="200" t="str">
        <f t="shared" si="7"/>
        <v/>
      </c>
      <c r="U22" s="425" t="str">
        <f t="shared" si="8"/>
        <v/>
      </c>
      <c r="V22" s="491" t="str">
        <f t="shared" si="9"/>
        <v/>
      </c>
      <c r="W22" s="418" t="str">
        <f t="shared" si="10"/>
        <v/>
      </c>
      <c r="X22" s="431" t="str">
        <f t="shared" si="11"/>
        <v/>
      </c>
      <c r="Y22" s="191"/>
      <c r="Z22" s="203">
        <f t="shared" si="12"/>
        <v>-40</v>
      </c>
      <c r="AA22" s="198">
        <f t="shared" si="13"/>
        <v>-60</v>
      </c>
      <c r="AB22" s="204">
        <f t="shared" si="14"/>
        <v>-72.5</v>
      </c>
    </row>
    <row r="23" spans="1:28" ht="14" x14ac:dyDescent="0.2">
      <c r="A23" s="103"/>
      <c r="B23" s="131">
        <v>17</v>
      </c>
      <c r="C23" s="132"/>
      <c r="D23" s="177" t="str">
        <f t="shared" si="0"/>
        <v/>
      </c>
      <c r="E23" s="134"/>
      <c r="F23" s="134">
        <v>17</v>
      </c>
      <c r="G23" s="135"/>
      <c r="H23" s="132" t="str">
        <f t="shared" si="15"/>
        <v/>
      </c>
      <c r="I23" s="136" t="str">
        <f t="shared" si="1"/>
        <v/>
      </c>
      <c r="J23" s="134"/>
      <c r="K23" s="137" t="str">
        <f t="shared" si="2"/>
        <v/>
      </c>
      <c r="L23" s="135" t="str">
        <f t="shared" si="3"/>
        <v/>
      </c>
      <c r="M23" s="138" t="str">
        <f t="shared" si="4"/>
        <v/>
      </c>
      <c r="N23" s="139" t="str">
        <f t="shared" si="5"/>
        <v/>
      </c>
      <c r="O23" s="140"/>
      <c r="P23" s="174"/>
      <c r="Q23" s="142"/>
      <c r="R23" s="183"/>
      <c r="S23" s="199" t="str">
        <f t="shared" si="6"/>
        <v/>
      </c>
      <c r="T23" s="200" t="str">
        <f t="shared" si="7"/>
        <v/>
      </c>
      <c r="U23" s="425" t="str">
        <f t="shared" si="8"/>
        <v/>
      </c>
      <c r="V23" s="491" t="str">
        <f t="shared" si="9"/>
        <v/>
      </c>
      <c r="W23" s="418" t="str">
        <f t="shared" si="10"/>
        <v/>
      </c>
      <c r="X23" s="431" t="str">
        <f t="shared" si="11"/>
        <v/>
      </c>
      <c r="Y23" s="191"/>
      <c r="Z23" s="203">
        <f t="shared" si="12"/>
        <v>-44</v>
      </c>
      <c r="AA23" s="198">
        <f t="shared" si="13"/>
        <v>-66</v>
      </c>
      <c r="AB23" s="204">
        <f t="shared" si="14"/>
        <v>-80</v>
      </c>
    </row>
    <row r="24" spans="1:28" ht="14" x14ac:dyDescent="0.2">
      <c r="A24" s="103"/>
      <c r="B24" s="172"/>
      <c r="C24" s="132"/>
      <c r="D24" s="177" t="str">
        <f t="shared" si="0"/>
        <v/>
      </c>
      <c r="E24" s="134"/>
      <c r="F24" s="134"/>
      <c r="G24" s="135"/>
      <c r="H24" s="132"/>
      <c r="I24" s="136"/>
      <c r="J24" s="134"/>
      <c r="K24" s="137"/>
      <c r="L24" s="135"/>
      <c r="M24" s="138"/>
      <c r="N24" s="139"/>
      <c r="O24" s="140"/>
      <c r="P24" s="175"/>
      <c r="Q24" s="142"/>
      <c r="R24" s="183"/>
      <c r="S24" s="199" t="str">
        <f t="shared" si="6"/>
        <v/>
      </c>
      <c r="T24" s="200" t="str">
        <f t="shared" si="7"/>
        <v/>
      </c>
      <c r="U24" s="425" t="str">
        <f t="shared" si="8"/>
        <v/>
      </c>
      <c r="V24" s="491" t="str">
        <f t="shared" si="9"/>
        <v/>
      </c>
      <c r="W24" s="418" t="str">
        <f t="shared" si="10"/>
        <v/>
      </c>
      <c r="X24" s="431" t="str">
        <f t="shared" si="11"/>
        <v/>
      </c>
      <c r="Y24" s="191"/>
      <c r="Z24" s="203" t="str">
        <f t="shared" si="12"/>
        <v/>
      </c>
      <c r="AA24" s="198" t="str">
        <f t="shared" si="13"/>
        <v/>
      </c>
      <c r="AB24" s="204" t="str">
        <f t="shared" si="14"/>
        <v/>
      </c>
    </row>
    <row r="25" spans="1:28" ht="14" x14ac:dyDescent="0.2">
      <c r="A25" s="103"/>
      <c r="B25" s="131"/>
      <c r="C25" s="132"/>
      <c r="D25" s="177" t="str">
        <f t="shared" si="0"/>
        <v/>
      </c>
      <c r="E25" s="134"/>
      <c r="F25" s="134"/>
      <c r="G25" s="135"/>
      <c r="H25" s="132"/>
      <c r="I25" s="136"/>
      <c r="J25" s="134"/>
      <c r="K25" s="137"/>
      <c r="L25" s="135"/>
      <c r="M25" s="138"/>
      <c r="N25" s="139"/>
      <c r="O25" s="140"/>
      <c r="P25" s="175"/>
      <c r="Q25" s="142"/>
      <c r="R25" s="183"/>
      <c r="S25" s="199" t="str">
        <f t="shared" si="6"/>
        <v/>
      </c>
      <c r="T25" s="200" t="str">
        <f t="shared" si="7"/>
        <v/>
      </c>
      <c r="U25" s="425" t="str">
        <f t="shared" si="8"/>
        <v/>
      </c>
      <c r="V25" s="491" t="str">
        <f t="shared" si="9"/>
        <v/>
      </c>
      <c r="W25" s="418" t="str">
        <f t="shared" si="10"/>
        <v/>
      </c>
      <c r="X25" s="431" t="str">
        <f t="shared" si="11"/>
        <v/>
      </c>
      <c r="Y25" s="191"/>
      <c r="Z25" s="203" t="str">
        <f t="shared" si="12"/>
        <v/>
      </c>
      <c r="AA25" s="198" t="str">
        <f t="shared" si="13"/>
        <v/>
      </c>
      <c r="AB25" s="204" t="str">
        <f t="shared" si="14"/>
        <v/>
      </c>
    </row>
    <row r="26" spans="1:28" ht="14" x14ac:dyDescent="0.2">
      <c r="A26" s="103"/>
      <c r="B26" s="143"/>
      <c r="C26" s="144"/>
      <c r="D26" s="145" t="str">
        <f t="shared" si="0"/>
        <v/>
      </c>
      <c r="E26" s="146"/>
      <c r="F26" s="146"/>
      <c r="G26" s="147"/>
      <c r="H26" s="144" t="str">
        <f>IFERROR(IF(G26-$Q$2&lt;=0,"",(G26-$Q$2)*86400),"")</f>
        <v/>
      </c>
      <c r="I26" s="158" t="str">
        <f>IF($I$6="Ⅰ",V26,IF($I$6="Ⅱ",W26,IF($I$6="Ⅲ",X26,"")))</f>
        <v/>
      </c>
      <c r="J26" s="146"/>
      <c r="K26" s="160" t="str">
        <f>IFERROR(H26*(1+0.01*J26)-I26*$N$3,"")</f>
        <v/>
      </c>
      <c r="L26" s="147" t="str">
        <f>IFERROR((K26-$K$7)/86400,"")</f>
        <v/>
      </c>
      <c r="M26" s="161" t="str">
        <f>IFERROR((K26-$K$7)/$N$3,"")</f>
        <v/>
      </c>
      <c r="N26" s="162" t="str">
        <f>IFERROR($N$3/(H26/3600),"")</f>
        <v/>
      </c>
      <c r="O26" s="163" t="str">
        <f>IF($O$6="MAX=20",Z26,IF($O$6="MAX=30",AA26,IF($O$6="MAX=40",AB26,"")))</f>
        <v/>
      </c>
      <c r="P26" s="176"/>
      <c r="Q26" s="157"/>
      <c r="R26" s="183"/>
      <c r="S26" s="199" t="str">
        <f t="shared" si="6"/>
        <v/>
      </c>
      <c r="T26" s="200" t="str">
        <f t="shared" si="7"/>
        <v/>
      </c>
      <c r="U26" s="425" t="str">
        <f t="shared" si="8"/>
        <v/>
      </c>
      <c r="V26" s="491" t="str">
        <f t="shared" si="9"/>
        <v/>
      </c>
      <c r="W26" s="418" t="str">
        <f t="shared" si="10"/>
        <v/>
      </c>
      <c r="X26" s="431" t="str">
        <f t="shared" si="11"/>
        <v/>
      </c>
      <c r="Y26" s="191"/>
      <c r="Z26" s="203" t="str">
        <f t="shared" si="12"/>
        <v/>
      </c>
      <c r="AA26" s="198" t="str">
        <f t="shared" si="13"/>
        <v/>
      </c>
      <c r="AB26" s="204" t="str">
        <f t="shared" si="14"/>
        <v/>
      </c>
    </row>
    <row r="27" spans="1:28" ht="14" x14ac:dyDescent="0.2">
      <c r="A27" s="103"/>
      <c r="B27" s="172"/>
      <c r="C27" s="164"/>
      <c r="D27" s="177" t="str">
        <f t="shared" si="0"/>
        <v/>
      </c>
      <c r="E27" s="166"/>
      <c r="F27" s="166"/>
      <c r="G27" s="168"/>
      <c r="H27" s="121" t="str">
        <f>IFERROR(IF(G27-$Q$2&lt;=0,"",(G27-$Q$2)*86400),"")</f>
        <v/>
      </c>
      <c r="I27" s="125"/>
      <c r="J27" s="123"/>
      <c r="K27" s="126" t="str">
        <f>IFERROR(H27*(1+0.01*J27)-I27*$N$3,"")</f>
        <v/>
      </c>
      <c r="L27" s="124" t="str">
        <f>IFERROR((K27-$K$7)/86400,"")</f>
        <v/>
      </c>
      <c r="M27" s="127" t="str">
        <f>IFERROR((K27-$K$7)/$N$3,"")</f>
        <v/>
      </c>
      <c r="N27" s="128" t="str">
        <f>IFERROR($N$3/(H27/3600),"")</f>
        <v/>
      </c>
      <c r="O27" s="129"/>
      <c r="P27" s="178"/>
      <c r="Q27" s="173"/>
      <c r="R27" s="183"/>
      <c r="S27" s="199" t="str">
        <f t="shared" si="6"/>
        <v/>
      </c>
      <c r="T27" s="200" t="str">
        <f t="shared" si="7"/>
        <v/>
      </c>
      <c r="U27" s="425" t="str">
        <f t="shared" si="8"/>
        <v/>
      </c>
      <c r="V27" s="491" t="str">
        <f t="shared" si="9"/>
        <v/>
      </c>
      <c r="W27" s="418" t="str">
        <f t="shared" si="10"/>
        <v/>
      </c>
      <c r="X27" s="431" t="str">
        <f t="shared" si="11"/>
        <v/>
      </c>
      <c r="Y27" s="191"/>
      <c r="Z27" s="203" t="str">
        <f t="shared" si="12"/>
        <v/>
      </c>
      <c r="AA27" s="198" t="str">
        <f t="shared" si="13"/>
        <v/>
      </c>
      <c r="AB27" s="204" t="str">
        <f t="shared" si="14"/>
        <v/>
      </c>
    </row>
    <row r="28" spans="1:28" ht="14.25" customHeight="1" x14ac:dyDescent="0.2">
      <c r="A28" s="103"/>
      <c r="B28" s="131"/>
      <c r="C28" s="132"/>
      <c r="D28" s="177" t="str">
        <f t="shared" si="0"/>
        <v/>
      </c>
      <c r="E28" s="134"/>
      <c r="F28" s="134"/>
      <c r="G28" s="135"/>
      <c r="H28" s="132"/>
      <c r="I28" s="136"/>
      <c r="J28" s="134"/>
      <c r="K28" s="137"/>
      <c r="L28" s="135"/>
      <c r="M28" s="138"/>
      <c r="N28" s="139"/>
      <c r="O28" s="140"/>
      <c r="P28" s="179"/>
      <c r="Q28" s="142"/>
      <c r="R28" s="183"/>
      <c r="S28" s="199" t="str">
        <f t="shared" si="6"/>
        <v/>
      </c>
      <c r="T28" s="200" t="str">
        <f t="shared" si="7"/>
        <v/>
      </c>
      <c r="U28" s="425" t="str">
        <f t="shared" si="8"/>
        <v/>
      </c>
      <c r="V28" s="491" t="str">
        <f t="shared" si="9"/>
        <v/>
      </c>
      <c r="W28" s="418" t="str">
        <f t="shared" si="10"/>
        <v/>
      </c>
      <c r="X28" s="431" t="str">
        <f t="shared" si="11"/>
        <v/>
      </c>
      <c r="Y28" s="191"/>
      <c r="Z28" s="203" t="str">
        <f t="shared" si="12"/>
        <v/>
      </c>
      <c r="AA28" s="198" t="str">
        <f t="shared" si="13"/>
        <v/>
      </c>
      <c r="AB28" s="204" t="str">
        <f t="shared" si="14"/>
        <v/>
      </c>
    </row>
    <row r="29" spans="1:28" ht="14" x14ac:dyDescent="0.2">
      <c r="A29" s="103"/>
      <c r="B29" s="131"/>
      <c r="C29" s="132"/>
      <c r="D29" s="177" t="str">
        <f t="shared" si="0"/>
        <v/>
      </c>
      <c r="E29" s="134"/>
      <c r="F29" s="134"/>
      <c r="G29" s="135"/>
      <c r="H29" s="132"/>
      <c r="I29" s="136"/>
      <c r="J29" s="134"/>
      <c r="K29" s="137"/>
      <c r="L29" s="135"/>
      <c r="M29" s="138"/>
      <c r="N29" s="139"/>
      <c r="O29" s="140"/>
      <c r="P29" s="175"/>
      <c r="Q29" s="142"/>
      <c r="R29" s="183"/>
      <c r="S29" s="199" t="str">
        <f t="shared" si="6"/>
        <v/>
      </c>
      <c r="T29" s="200" t="str">
        <f t="shared" si="7"/>
        <v/>
      </c>
      <c r="U29" s="425" t="str">
        <f t="shared" si="8"/>
        <v/>
      </c>
      <c r="V29" s="491" t="str">
        <f t="shared" si="9"/>
        <v/>
      </c>
      <c r="W29" s="418" t="str">
        <f t="shared" si="10"/>
        <v/>
      </c>
      <c r="X29" s="431" t="str">
        <f t="shared" si="11"/>
        <v/>
      </c>
      <c r="Y29" s="191"/>
      <c r="Z29" s="203" t="str">
        <f t="shared" si="12"/>
        <v/>
      </c>
      <c r="AA29" s="198" t="str">
        <f t="shared" si="13"/>
        <v/>
      </c>
      <c r="AB29" s="204" t="str">
        <f t="shared" si="14"/>
        <v/>
      </c>
    </row>
    <row r="30" spans="1:28" ht="14.25" customHeight="1" x14ac:dyDescent="0.2">
      <c r="A30" s="103"/>
      <c r="B30" s="131"/>
      <c r="C30" s="132"/>
      <c r="D30" s="177" t="str">
        <f t="shared" si="0"/>
        <v/>
      </c>
      <c r="E30" s="134"/>
      <c r="F30" s="134"/>
      <c r="G30" s="135"/>
      <c r="H30" s="132"/>
      <c r="I30" s="136"/>
      <c r="J30" s="134"/>
      <c r="K30" s="137"/>
      <c r="L30" s="135"/>
      <c r="M30" s="138"/>
      <c r="N30" s="139"/>
      <c r="O30" s="140"/>
      <c r="P30" s="175"/>
      <c r="Q30" s="142"/>
      <c r="R30" s="183"/>
      <c r="S30" s="199" t="str">
        <f t="shared" si="6"/>
        <v/>
      </c>
      <c r="T30" s="200" t="str">
        <f t="shared" si="7"/>
        <v/>
      </c>
      <c r="U30" s="425" t="str">
        <f t="shared" si="8"/>
        <v/>
      </c>
      <c r="V30" s="491" t="str">
        <f t="shared" si="9"/>
        <v/>
      </c>
      <c r="W30" s="418" t="str">
        <f t="shared" si="10"/>
        <v/>
      </c>
      <c r="X30" s="431" t="str">
        <f t="shared" si="11"/>
        <v/>
      </c>
      <c r="Y30" s="191"/>
      <c r="Z30" s="203" t="str">
        <f t="shared" si="12"/>
        <v/>
      </c>
      <c r="AA30" s="198" t="str">
        <f t="shared" si="13"/>
        <v/>
      </c>
      <c r="AB30" s="204" t="str">
        <f t="shared" si="14"/>
        <v/>
      </c>
    </row>
    <row r="31" spans="1:28" ht="14.5" thickBot="1" x14ac:dyDescent="0.25">
      <c r="A31" s="103"/>
      <c r="B31" s="131"/>
      <c r="C31" s="132"/>
      <c r="D31" s="177" t="str">
        <f t="shared" si="0"/>
        <v/>
      </c>
      <c r="E31" s="146"/>
      <c r="F31" s="134"/>
      <c r="G31" s="135"/>
      <c r="H31" s="144" t="str">
        <f>IFERROR(IF(G31-$Q$2&lt;=0,"",(G31-$Q$2)*86400),"")</f>
        <v/>
      </c>
      <c r="I31" s="158" t="str">
        <f>IF($I$6="Ⅰ",V31,IF($I$6="Ⅱ",W31,IF($I$6="Ⅲ",X31,"")))</f>
        <v/>
      </c>
      <c r="J31" s="146"/>
      <c r="K31" s="160" t="str">
        <f>IFERROR(H31*(1+0.01*J31)-I31*$N$3,"")</f>
        <v/>
      </c>
      <c r="L31" s="147" t="str">
        <f>IFERROR((K31-$K$7)/86400,"")</f>
        <v/>
      </c>
      <c r="M31" s="161" t="str">
        <f>IFERROR((K31-$K$7)/$N$3,"")</f>
        <v/>
      </c>
      <c r="N31" s="162" t="str">
        <f>IFERROR($N$3/(H31/3600),"")</f>
        <v/>
      </c>
      <c r="O31" s="163" t="str">
        <f>IF($O$6="MAX=20",Z31,IF($O$6="MAX=30",AA31,IF($O$6="MAX=40",AB31,"")))</f>
        <v/>
      </c>
      <c r="P31" s="176"/>
      <c r="Q31" s="157"/>
      <c r="R31" s="183"/>
      <c r="S31" s="205" t="str">
        <f t="shared" si="6"/>
        <v/>
      </c>
      <c r="T31" s="206" t="str">
        <f t="shared" si="7"/>
        <v/>
      </c>
      <c r="U31" s="484" t="str">
        <f t="shared" si="8"/>
        <v/>
      </c>
      <c r="V31" s="426" t="str">
        <f t="shared" si="9"/>
        <v/>
      </c>
      <c r="W31" s="492" t="str">
        <f t="shared" si="10"/>
        <v/>
      </c>
      <c r="X31" s="421" t="str">
        <f t="shared" si="11"/>
        <v/>
      </c>
      <c r="Y31" s="191"/>
      <c r="Z31" s="211" t="str">
        <f t="shared" si="12"/>
        <v/>
      </c>
      <c r="AA31" s="212" t="str">
        <f t="shared" si="13"/>
        <v/>
      </c>
      <c r="AB31" s="213" t="str">
        <f t="shared" si="14"/>
        <v/>
      </c>
    </row>
    <row r="32" spans="1:28" ht="15" customHeight="1" x14ac:dyDescent="0.25">
      <c r="A32" s="103"/>
      <c r="B32" s="580" t="s">
        <v>203</v>
      </c>
      <c r="C32" s="581"/>
      <c r="D32" s="582"/>
      <c r="E32" s="180"/>
      <c r="F32" s="498" t="s">
        <v>159</v>
      </c>
      <c r="G32" s="482" t="s">
        <v>334</v>
      </c>
      <c r="H32" s="623" t="s">
        <v>294</v>
      </c>
      <c r="I32" s="592"/>
      <c r="J32" s="592"/>
      <c r="K32" s="592"/>
      <c r="L32" s="592"/>
      <c r="M32" s="592"/>
      <c r="N32" s="592"/>
      <c r="O32" s="592"/>
      <c r="P32" s="592"/>
      <c r="Q32" s="593"/>
      <c r="R32" s="94"/>
      <c r="S32" s="186"/>
      <c r="T32" s="186"/>
      <c r="U32" s="186"/>
      <c r="X32" s="186"/>
      <c r="Y32" s="186"/>
    </row>
    <row r="33" spans="1:25" ht="15" customHeight="1" x14ac:dyDescent="0.25">
      <c r="A33" s="103"/>
      <c r="B33" s="583"/>
      <c r="C33" s="584"/>
      <c r="D33" s="585"/>
      <c r="E33" s="181"/>
      <c r="F33" s="574" t="s">
        <v>336</v>
      </c>
      <c r="G33" s="601"/>
      <c r="H33" s="594"/>
      <c r="I33" s="595"/>
      <c r="J33" s="595"/>
      <c r="K33" s="595"/>
      <c r="L33" s="595"/>
      <c r="M33" s="595"/>
      <c r="N33" s="595"/>
      <c r="O33" s="595"/>
      <c r="P33" s="595"/>
      <c r="Q33" s="596"/>
      <c r="R33" s="94"/>
      <c r="S33" s="186"/>
      <c r="T33" s="186"/>
      <c r="U33" s="186"/>
      <c r="X33" s="186"/>
      <c r="Y33" s="186"/>
    </row>
    <row r="34" spans="1:25" ht="23.25" customHeight="1" x14ac:dyDescent="0.25">
      <c r="A34" s="103"/>
      <c r="B34" s="586"/>
      <c r="C34" s="587"/>
      <c r="D34" s="588"/>
      <c r="E34" s="181"/>
      <c r="F34" s="574" t="s">
        <v>335</v>
      </c>
      <c r="G34" s="601"/>
      <c r="H34" s="594"/>
      <c r="I34" s="595"/>
      <c r="J34" s="595"/>
      <c r="K34" s="595"/>
      <c r="L34" s="595"/>
      <c r="M34" s="595"/>
      <c r="N34" s="595"/>
      <c r="O34" s="595"/>
      <c r="P34" s="595"/>
      <c r="Q34" s="596"/>
      <c r="R34" s="94"/>
      <c r="S34" s="186"/>
      <c r="T34" s="186"/>
      <c r="U34" s="186"/>
      <c r="X34" s="186"/>
      <c r="Y34" s="186"/>
    </row>
    <row r="35" spans="1:25" ht="22.5" customHeight="1" x14ac:dyDescent="0.25">
      <c r="A35" s="103"/>
      <c r="B35" s="602" t="s">
        <v>204</v>
      </c>
      <c r="C35" s="603"/>
      <c r="D35" s="604"/>
      <c r="E35" s="181"/>
      <c r="F35" s="574" t="s">
        <v>163</v>
      </c>
      <c r="G35" s="493">
        <f>参照ﾃﾞｰﾀ!AC12</f>
        <v>0</v>
      </c>
      <c r="H35" s="594"/>
      <c r="I35" s="595"/>
      <c r="J35" s="595"/>
      <c r="K35" s="595"/>
      <c r="L35" s="595"/>
      <c r="M35" s="595"/>
      <c r="N35" s="595"/>
      <c r="O35" s="595"/>
      <c r="P35" s="595"/>
      <c r="Q35" s="596"/>
      <c r="R35" s="94"/>
      <c r="S35" s="186"/>
      <c r="T35" s="186"/>
      <c r="U35" s="186"/>
      <c r="X35" s="186"/>
      <c r="Y35" s="186"/>
    </row>
    <row r="36" spans="1:25" ht="15" customHeight="1" x14ac:dyDescent="0.25">
      <c r="A36" s="103"/>
      <c r="B36" s="605"/>
      <c r="C36" s="606"/>
      <c r="D36" s="607"/>
      <c r="E36" s="494"/>
      <c r="F36" s="679"/>
      <c r="G36" s="493"/>
      <c r="H36" s="594"/>
      <c r="I36" s="595"/>
      <c r="J36" s="595"/>
      <c r="K36" s="595"/>
      <c r="L36" s="595"/>
      <c r="M36" s="595"/>
      <c r="N36" s="595"/>
      <c r="O36" s="595"/>
      <c r="P36" s="595"/>
      <c r="Q36" s="596"/>
      <c r="R36" s="94"/>
      <c r="S36" s="186"/>
      <c r="T36" s="186"/>
      <c r="U36" s="186"/>
      <c r="X36" s="186"/>
      <c r="Y36" s="186"/>
    </row>
    <row r="37" spans="1:25" ht="15" customHeight="1" x14ac:dyDescent="0.25">
      <c r="A37" s="103"/>
      <c r="B37" s="605"/>
      <c r="C37" s="606"/>
      <c r="D37" s="607"/>
      <c r="E37" s="495"/>
      <c r="F37" s="682" t="s">
        <v>162</v>
      </c>
      <c r="G37" s="683"/>
      <c r="H37" s="594"/>
      <c r="I37" s="595"/>
      <c r="J37" s="595"/>
      <c r="K37" s="595"/>
      <c r="L37" s="595"/>
      <c r="M37" s="595"/>
      <c r="N37" s="595"/>
      <c r="O37" s="595"/>
      <c r="P37" s="595"/>
      <c r="Q37" s="596"/>
      <c r="R37" s="94"/>
      <c r="S37" s="186"/>
      <c r="T37" s="186"/>
      <c r="U37" s="186"/>
      <c r="X37" s="186"/>
      <c r="Y37" s="186"/>
    </row>
    <row r="38" spans="1:25" ht="15" customHeight="1" x14ac:dyDescent="0.25">
      <c r="A38" s="103"/>
      <c r="B38" s="605"/>
      <c r="C38" s="606"/>
      <c r="D38" s="607"/>
      <c r="E38" s="496"/>
      <c r="F38" s="684" t="s">
        <v>175</v>
      </c>
      <c r="G38" s="685"/>
      <c r="H38" s="594"/>
      <c r="I38" s="595"/>
      <c r="J38" s="595"/>
      <c r="K38" s="595"/>
      <c r="L38" s="595"/>
      <c r="M38" s="595"/>
      <c r="N38" s="595"/>
      <c r="O38" s="595"/>
      <c r="P38" s="595"/>
      <c r="Q38" s="596"/>
      <c r="R38" s="94"/>
      <c r="S38" s="186"/>
      <c r="T38" s="186"/>
      <c r="U38" s="186"/>
      <c r="X38" s="186"/>
      <c r="Y38" s="186"/>
    </row>
    <row r="39" spans="1:25" ht="15" customHeight="1" x14ac:dyDescent="0.25">
      <c r="A39" s="103"/>
      <c r="B39" s="605"/>
      <c r="C39" s="606"/>
      <c r="D39" s="607"/>
      <c r="E39" s="684"/>
      <c r="F39" s="684" t="s">
        <v>163</v>
      </c>
      <c r="G39" s="685"/>
      <c r="H39" s="594"/>
      <c r="I39" s="595"/>
      <c r="J39" s="595"/>
      <c r="K39" s="595"/>
      <c r="L39" s="595"/>
      <c r="M39" s="595"/>
      <c r="N39" s="595"/>
      <c r="O39" s="595"/>
      <c r="P39" s="595"/>
      <c r="Q39" s="596"/>
      <c r="R39" s="94"/>
      <c r="S39" s="186"/>
      <c r="T39" s="186"/>
      <c r="U39" s="186"/>
      <c r="X39" s="186"/>
      <c r="Y39" s="186"/>
    </row>
    <row r="40" spans="1:25" ht="15" customHeight="1" x14ac:dyDescent="0.25">
      <c r="A40" s="103"/>
      <c r="B40" s="605"/>
      <c r="C40" s="606"/>
      <c r="D40" s="607"/>
      <c r="E40" s="684"/>
      <c r="F40" s="686"/>
      <c r="G40" s="687"/>
      <c r="H40" s="594"/>
      <c r="I40" s="595"/>
      <c r="J40" s="595"/>
      <c r="K40" s="595"/>
      <c r="L40" s="595"/>
      <c r="M40" s="595"/>
      <c r="N40" s="595"/>
      <c r="O40" s="595"/>
      <c r="P40" s="595"/>
      <c r="Q40" s="596"/>
      <c r="R40" s="94"/>
      <c r="S40" s="186"/>
      <c r="T40" s="186"/>
      <c r="U40" s="186"/>
      <c r="X40" s="186"/>
      <c r="Y40" s="186"/>
    </row>
    <row r="41" spans="1:25" ht="11.25" customHeight="1" thickBot="1" x14ac:dyDescent="0.3">
      <c r="A41" s="103"/>
      <c r="B41" s="608"/>
      <c r="C41" s="609"/>
      <c r="D41" s="610"/>
      <c r="E41" s="497"/>
      <c r="F41" s="680"/>
      <c r="G41" s="681"/>
      <c r="H41" s="597"/>
      <c r="I41" s="598"/>
      <c r="J41" s="598"/>
      <c r="K41" s="598"/>
      <c r="L41" s="598"/>
      <c r="M41" s="598"/>
      <c r="N41" s="598"/>
      <c r="O41" s="598"/>
      <c r="P41" s="598"/>
      <c r="Q41" s="599"/>
      <c r="R41" s="94"/>
      <c r="S41" s="186"/>
      <c r="T41" s="186"/>
      <c r="U41" s="186"/>
      <c r="V41" s="186"/>
      <c r="W41" s="186"/>
      <c r="X41" s="186"/>
      <c r="Y41" s="186"/>
    </row>
    <row r="42" spans="1:25" x14ac:dyDescent="0.2">
      <c r="A42" s="103"/>
      <c r="B42" s="103"/>
      <c r="C42" s="103"/>
      <c r="D42" s="103"/>
      <c r="E42" s="103"/>
      <c r="F42" s="103"/>
      <c r="G42" s="103"/>
      <c r="H42" s="103"/>
      <c r="I42" s="103"/>
      <c r="J42" s="103"/>
      <c r="K42" s="103"/>
      <c r="L42" s="103"/>
      <c r="M42" s="103"/>
      <c r="N42" s="103"/>
      <c r="O42" s="103"/>
      <c r="P42" s="103"/>
      <c r="Q42" s="103"/>
      <c r="R42" s="103"/>
    </row>
  </sheetData>
  <sheetProtection algorithmName="SHA-512" hashValue="i58vB5juiN1S1p4Yad2aTBMiZUqSLL+743M8nqRNwN86N+QWIcD32n81WWS/W4v4TY8KuM8ssNFt5ScUJ2i6fg==" saltValue="fvHwEqfL1NNtpeoSoOjSeg==" spinCount="100000" sheet="1" objects="1" scenarios="1"/>
  <sortState xmlns:xlrd2="http://schemas.microsoft.com/office/spreadsheetml/2017/richdata2" ref="C7:F14">
    <sortCondition ref="E7:E14"/>
  </sortState>
  <mergeCells count="16">
    <mergeCell ref="D2:F2"/>
    <mergeCell ref="E3:I3"/>
    <mergeCell ref="F35:F36"/>
    <mergeCell ref="J3:K3"/>
    <mergeCell ref="P5:Q5"/>
    <mergeCell ref="B32:D34"/>
    <mergeCell ref="H32:Q41"/>
    <mergeCell ref="F33:G33"/>
    <mergeCell ref="F34:G34"/>
    <mergeCell ref="B35:D41"/>
    <mergeCell ref="F41:G41"/>
    <mergeCell ref="F37:G37"/>
    <mergeCell ref="F38:G38"/>
    <mergeCell ref="E39:E40"/>
    <mergeCell ref="F39:G39"/>
    <mergeCell ref="F40:G40"/>
  </mergeCells>
  <phoneticPr fontId="71"/>
  <dataValidations count="8">
    <dataValidation type="list" allowBlank="1" showInputMessage="1" showErrorMessage="1" sqref="P2" xr:uid="{00000000-0002-0000-0A00-000000000000}">
      <formula1>開催日</formula1>
    </dataValidation>
    <dataValidation type="list" errorStyle="warning" allowBlank="1" showInputMessage="1" showErrorMessage="1" sqref="Q2" xr:uid="{00000000-0002-0000-0A00-000001000000}">
      <formula1>時刻</formula1>
    </dataValidation>
    <dataValidation type="list" allowBlank="1" showInputMessage="1" showErrorMessage="1" sqref="J3:K3" xr:uid="{00000000-0002-0000-0A00-000002000000}">
      <formula1>暫定</formula1>
    </dataValidation>
    <dataValidation type="list" allowBlank="1" showInputMessage="1" showErrorMessage="1" sqref="G2" xr:uid="{00000000-0002-0000-0A00-000003000000}">
      <formula1>月</formula1>
    </dataValidation>
    <dataValidation type="list" allowBlank="1" showInputMessage="1" showErrorMessage="1" sqref="N2" xr:uid="{00000000-0002-0000-0A00-000004000000}">
      <formula1>コース</formula1>
    </dataValidation>
    <dataValidation type="list" showInputMessage="1" showErrorMessage="1" sqref="E3" xr:uid="{00000000-0002-0000-0A00-000005000000}">
      <formula1>レース名</formula1>
    </dataValidation>
    <dataValidation type="list" allowBlank="1" showInputMessage="1" showErrorMessage="1" sqref="I6" xr:uid="{00000000-0002-0000-0A00-000006000000}">
      <formula1>ＴＡ</formula1>
    </dataValidation>
    <dataValidation type="list" allowBlank="1" showInputMessage="1" showErrorMessage="1" sqref="D3" xr:uid="{00000000-0002-0000-0A00-000007000000}">
      <formula1>レース番号</formula1>
    </dataValidation>
  </dataValidations>
  <pageMargins left="0.31496062992125984" right="0" top="0.35433070866141736" bottom="0.19685039370078741" header="0" footer="0"/>
  <pageSetup paperSize="9" orientation="landscape" horizontalDpi="4294967293"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42"/>
  <sheetViews>
    <sheetView zoomScale="85" zoomScaleNormal="85" workbookViewId="0">
      <selection activeCell="L25" sqref="L25"/>
    </sheetView>
  </sheetViews>
  <sheetFormatPr defaultColWidth="9" defaultRowHeight="13" x14ac:dyDescent="0.2"/>
  <cols>
    <col min="1" max="1" width="1.7265625" style="185" customWidth="1"/>
    <col min="2" max="2" width="5" style="185" customWidth="1"/>
    <col min="3" max="3" width="7" style="185" customWidth="1"/>
    <col min="4" max="4" width="18" style="185" customWidth="1"/>
    <col min="5" max="5" width="8" style="185" hidden="1" customWidth="1"/>
    <col min="6" max="6" width="5" style="185" customWidth="1"/>
    <col min="7" max="7" width="10.90625" style="185" customWidth="1"/>
    <col min="8" max="8" width="8.36328125" style="185" customWidth="1"/>
    <col min="9" max="9" width="8.6328125" style="185" customWidth="1"/>
    <col min="10" max="10" width="5" style="185" customWidth="1"/>
    <col min="11" max="11" width="8.453125" style="185" customWidth="1"/>
    <col min="12" max="12" width="10.90625" style="185" customWidth="1"/>
    <col min="13" max="13" width="9.453125" style="185" customWidth="1"/>
    <col min="14" max="14" width="7.90625" style="185" customWidth="1"/>
    <col min="15" max="15" width="8" style="185" customWidth="1"/>
    <col min="16" max="16" width="12" style="185" bestFit="1" customWidth="1"/>
    <col min="17" max="17" width="11.6328125" style="185" customWidth="1"/>
    <col min="18" max="18" width="1.6328125" style="185" customWidth="1"/>
    <col min="19" max="19" width="4.90625" style="185" customWidth="1"/>
    <col min="20" max="22" width="7.6328125" style="185" hidden="1" customWidth="1"/>
    <col min="23" max="23" width="8.26953125" style="185" customWidth="1"/>
    <col min="24" max="25" width="7.6328125" style="185" customWidth="1"/>
    <col min="26" max="26" width="4.453125" style="185" customWidth="1"/>
    <col min="27" max="29" width="8" style="185" customWidth="1"/>
    <col min="30" max="16384" width="9" style="185"/>
  </cols>
  <sheetData>
    <row r="1" spans="1:29" ht="9.75" customHeight="1" thickBot="1" x14ac:dyDescent="0.25">
      <c r="A1" s="103"/>
      <c r="B1" s="103"/>
      <c r="C1" s="103"/>
      <c r="D1" s="103"/>
      <c r="E1" s="103"/>
      <c r="F1" s="103"/>
      <c r="G1" s="103"/>
      <c r="H1" s="103"/>
      <c r="I1" s="103"/>
      <c r="J1" s="103"/>
      <c r="K1" s="103"/>
      <c r="L1" s="103"/>
      <c r="M1" s="103"/>
      <c r="N1" s="103"/>
      <c r="O1" s="103"/>
      <c r="P1" s="103"/>
      <c r="Q1" s="103"/>
      <c r="R1" s="103"/>
      <c r="S1" s="103"/>
    </row>
    <row r="2" spans="1:29" ht="21" x14ac:dyDescent="0.3">
      <c r="A2" s="103"/>
      <c r="B2" s="94"/>
      <c r="C2" s="95"/>
      <c r="D2" s="575" t="str">
        <f>参照ﾃﾞｰﾀ!F4</f>
        <v>2025年</v>
      </c>
      <c r="E2" s="575"/>
      <c r="F2" s="575"/>
      <c r="G2" s="96" t="s">
        <v>170</v>
      </c>
      <c r="H2" s="97"/>
      <c r="I2" s="98"/>
      <c r="J2" s="94"/>
      <c r="K2" s="99"/>
      <c r="L2" s="94"/>
      <c r="M2" s="100" t="s">
        <v>40</v>
      </c>
      <c r="N2" s="101" t="s">
        <v>224</v>
      </c>
      <c r="O2" s="102" t="s">
        <v>42</v>
      </c>
      <c r="P2" s="230">
        <v>45886</v>
      </c>
      <c r="Q2" s="231">
        <v>0.4375</v>
      </c>
      <c r="R2" s="322"/>
      <c r="S2" s="94"/>
      <c r="T2" s="187" t="s">
        <v>2</v>
      </c>
      <c r="U2" s="186"/>
      <c r="V2" s="186"/>
      <c r="W2" s="187" t="str">
        <f>参照ＴＡ!J3</f>
        <v>2025年</v>
      </c>
      <c r="X2" s="187" t="str">
        <f>参照ＴＡ!L3</f>
        <v>8月</v>
      </c>
      <c r="Y2" s="186"/>
      <c r="Z2" s="186"/>
    </row>
    <row r="3" spans="1:29" ht="21.75" customHeight="1" thickBot="1" x14ac:dyDescent="0.35">
      <c r="A3" s="103"/>
      <c r="B3" s="94"/>
      <c r="C3" s="103"/>
      <c r="D3" s="104" t="s">
        <v>269</v>
      </c>
      <c r="E3" s="615" t="s">
        <v>52</v>
      </c>
      <c r="F3" s="615"/>
      <c r="G3" s="615"/>
      <c r="H3" s="615"/>
      <c r="I3" s="615"/>
      <c r="J3" s="577" t="s">
        <v>72</v>
      </c>
      <c r="K3" s="577"/>
      <c r="L3" s="94"/>
      <c r="M3" s="105" t="s">
        <v>63</v>
      </c>
      <c r="N3" s="106">
        <f>IF(ISBLANK(N2),"",VLOOKUP(N2,コース・距離,2,FALSE))</f>
        <v>15.4</v>
      </c>
      <c r="O3" s="107" t="s">
        <v>0</v>
      </c>
      <c r="P3" s="108">
        <v>13</v>
      </c>
      <c r="Q3" s="109" t="s">
        <v>1</v>
      </c>
      <c r="R3" s="323"/>
      <c r="S3" s="94"/>
      <c r="T3" s="186" t="s">
        <v>193</v>
      </c>
      <c r="U3" s="186"/>
      <c r="V3" s="186"/>
      <c r="W3" s="187" t="s">
        <v>2</v>
      </c>
      <c r="X3" s="186"/>
      <c r="Y3" s="186"/>
      <c r="Z3" s="186"/>
      <c r="AA3" s="188" t="s">
        <v>64</v>
      </c>
    </row>
    <row r="4" spans="1:29" ht="7.5" customHeight="1" thickBot="1" x14ac:dyDescent="0.3">
      <c r="A4" s="103"/>
      <c r="B4" s="94"/>
      <c r="C4" s="94"/>
      <c r="D4" s="94"/>
      <c r="E4" s="94"/>
      <c r="F4" s="94"/>
      <c r="G4" s="94"/>
      <c r="H4" s="94"/>
      <c r="I4" s="94"/>
      <c r="J4" s="94"/>
      <c r="K4" s="94"/>
      <c r="L4" s="94"/>
      <c r="M4" s="94"/>
      <c r="N4" s="94"/>
      <c r="O4" s="94"/>
      <c r="P4" s="94"/>
      <c r="Q4" s="94"/>
      <c r="R4" s="94"/>
      <c r="S4" s="94"/>
      <c r="T4" s="186"/>
      <c r="U4" s="186"/>
      <c r="V4" s="186"/>
      <c r="W4" s="189"/>
      <c r="X4" s="186"/>
      <c r="Y4" s="186"/>
      <c r="Z4" s="186"/>
    </row>
    <row r="5" spans="1:29" ht="14" x14ac:dyDescent="0.2">
      <c r="A5" s="103"/>
      <c r="B5" s="110" t="s">
        <v>3</v>
      </c>
      <c r="C5" s="111" t="s">
        <v>4</v>
      </c>
      <c r="D5" s="111" t="s">
        <v>5</v>
      </c>
      <c r="E5" s="111" t="s">
        <v>6</v>
      </c>
      <c r="F5" s="111" t="s">
        <v>7</v>
      </c>
      <c r="G5" s="111" t="s">
        <v>8</v>
      </c>
      <c r="H5" s="111" t="s">
        <v>9</v>
      </c>
      <c r="I5" s="111" t="s">
        <v>10</v>
      </c>
      <c r="J5" s="111" t="s">
        <v>11</v>
      </c>
      <c r="K5" s="111" t="s">
        <v>12</v>
      </c>
      <c r="L5" s="112" t="s">
        <v>205</v>
      </c>
      <c r="M5" s="112" t="s">
        <v>202</v>
      </c>
      <c r="N5" s="111" t="s">
        <v>59</v>
      </c>
      <c r="O5" s="111" t="s">
        <v>13</v>
      </c>
      <c r="P5" s="578" t="s">
        <v>58</v>
      </c>
      <c r="Q5" s="579"/>
      <c r="R5" s="324"/>
      <c r="S5" s="183"/>
      <c r="T5" s="192" t="s">
        <v>10</v>
      </c>
      <c r="U5" s="190" t="s">
        <v>10</v>
      </c>
      <c r="V5" s="193" t="s">
        <v>10</v>
      </c>
      <c r="W5" s="192" t="s">
        <v>10</v>
      </c>
      <c r="X5" s="190" t="s">
        <v>10</v>
      </c>
      <c r="Y5" s="193" t="s">
        <v>10</v>
      </c>
      <c r="Z5" s="191"/>
      <c r="AA5" s="192" t="s">
        <v>13</v>
      </c>
      <c r="AB5" s="190" t="s">
        <v>13</v>
      </c>
      <c r="AC5" s="193" t="s">
        <v>13</v>
      </c>
    </row>
    <row r="6" spans="1:29" ht="14" x14ac:dyDescent="0.2">
      <c r="A6" s="103"/>
      <c r="B6" s="113"/>
      <c r="C6" s="114" t="s">
        <v>14</v>
      </c>
      <c r="D6" s="115"/>
      <c r="E6" s="116" t="s">
        <v>15</v>
      </c>
      <c r="F6" s="116"/>
      <c r="G6" s="114" t="s">
        <v>16</v>
      </c>
      <c r="H6" s="116" t="s">
        <v>17</v>
      </c>
      <c r="I6" s="114" t="s">
        <v>312</v>
      </c>
      <c r="J6" s="116" t="s">
        <v>18</v>
      </c>
      <c r="K6" s="116" t="s">
        <v>17</v>
      </c>
      <c r="L6" s="114" t="s">
        <v>16</v>
      </c>
      <c r="M6" s="116" t="s">
        <v>34</v>
      </c>
      <c r="N6" s="116" t="s">
        <v>19</v>
      </c>
      <c r="O6" s="117" t="str">
        <f>"MAX=20"</f>
        <v>MAX=20</v>
      </c>
      <c r="P6" s="118"/>
      <c r="Q6" s="119"/>
      <c r="R6" s="183"/>
      <c r="S6" s="184"/>
      <c r="T6" s="196" t="s">
        <v>20</v>
      </c>
      <c r="U6" s="194" t="s">
        <v>22</v>
      </c>
      <c r="V6" s="197" t="s">
        <v>21</v>
      </c>
      <c r="W6" s="196" t="s">
        <v>20</v>
      </c>
      <c r="X6" s="194" t="s">
        <v>22</v>
      </c>
      <c r="Y6" s="197" t="s">
        <v>21</v>
      </c>
      <c r="Z6" s="195"/>
      <c r="AA6" s="196" t="s">
        <v>66</v>
      </c>
      <c r="AB6" s="194" t="s">
        <v>67</v>
      </c>
      <c r="AC6" s="197" t="s">
        <v>68</v>
      </c>
    </row>
    <row r="7" spans="1:29" ht="14" x14ac:dyDescent="0.2">
      <c r="A7" s="103"/>
      <c r="B7" s="120">
        <v>1</v>
      </c>
      <c r="C7" s="121">
        <v>380</v>
      </c>
      <c r="D7" s="122" t="str">
        <f t="shared" ref="D7:D16" si="0">IF(ISBLANK(C7),"",VLOOKUP(C7,第2月ＴＡ,2,FALSE))</f>
        <v>テティス</v>
      </c>
      <c r="E7" s="215" t="e">
        <f t="shared" ref="E7:E18" si="1">IF($I$6="Ⅰ",T7,IF($I$6="Ⅱ",U7,IF($I$6="Ⅲ",V7,"")))</f>
        <v>#REF!</v>
      </c>
      <c r="F7" s="123">
        <v>1</v>
      </c>
      <c r="G7" s="124">
        <v>0.53023148148148147</v>
      </c>
      <c r="H7" s="121">
        <v>8011.9999999999991</v>
      </c>
      <c r="I7" s="125">
        <v>507</v>
      </c>
      <c r="J7" s="123"/>
      <c r="K7" s="126">
        <v>204.19999999999891</v>
      </c>
      <c r="L7" s="124">
        <v>0</v>
      </c>
      <c r="M7" s="127">
        <v>0</v>
      </c>
      <c r="N7" s="128">
        <v>6.9196205691462813</v>
      </c>
      <c r="O7" s="129">
        <v>20</v>
      </c>
      <c r="P7" s="220"/>
      <c r="Q7" s="130"/>
      <c r="R7" s="183"/>
      <c r="S7" s="183"/>
      <c r="T7" s="199" t="e">
        <f t="shared" ref="T7:T31" si="2">IF(ISBLANK(C7),"",VLOOKUP(C7,各艇データ,3,FALSE))</f>
        <v>#REF!</v>
      </c>
      <c r="U7" s="200" t="e">
        <f t="shared" ref="U7:U31" si="3">IF(ISBLANK(C7),"",VLOOKUP(C7,各艇データ,4,FALSE))</f>
        <v>#REF!</v>
      </c>
      <c r="V7" s="201" t="e">
        <f t="shared" ref="V7:V31" si="4">IF(ISBLANK(C7),"",VLOOKUP(C7,各艇データ,5,FALSE))</f>
        <v>#REF!</v>
      </c>
      <c r="W7" s="417">
        <f t="shared" ref="W7:W31" si="5">IF(ISBLANK(C7),"",VLOOKUP(C7,第2月ＴＡ,3,FALSE))</f>
        <v>837</v>
      </c>
      <c r="X7" s="418">
        <f t="shared" ref="X7:X31" si="6">IF(ISBLANK(C7),"",VLOOKUP(C7,第2月ＴＡ,4,FALSE))</f>
        <v>557.82500000000005</v>
      </c>
      <c r="Y7" s="202">
        <f t="shared" ref="Y7:Y31" si="7">IF(ISBLANK(C7),"",VLOOKUP(C7,第2月ＴＡ,5,FALSE))</f>
        <v>507</v>
      </c>
      <c r="Z7" s="191"/>
      <c r="AA7" s="203">
        <f>IF(ISBLANK(B7),"",IFERROR(20*($P$3+1-$B7)/$P$3,"20.0"))</f>
        <v>20</v>
      </c>
      <c r="AB7" s="198">
        <f>IF(ISBLANK(B7),"",IFERROR(30*($P$3+1-$B7)/$P$3,"30.0"))</f>
        <v>30</v>
      </c>
      <c r="AC7" s="204">
        <f>IF(ISBLANK(B7),"",IFERROR(30*($P$3-$B7)/($P$3-1)+10,"20.0"))</f>
        <v>40</v>
      </c>
    </row>
    <row r="8" spans="1:29" ht="14" x14ac:dyDescent="0.2">
      <c r="A8" s="103"/>
      <c r="B8" s="131">
        <v>2</v>
      </c>
      <c r="C8" s="132">
        <v>7177</v>
      </c>
      <c r="D8" s="133" t="str">
        <f t="shared" si="0"/>
        <v>Miss Emica</v>
      </c>
      <c r="E8" s="216" t="e">
        <f t="shared" si="1"/>
        <v>#REF!</v>
      </c>
      <c r="F8" s="134">
        <v>7</v>
      </c>
      <c r="G8" s="135">
        <v>0.53827546296296291</v>
      </c>
      <c r="H8" s="132">
        <v>8706.9999999999964</v>
      </c>
      <c r="I8" s="136">
        <v>550.20000000000005</v>
      </c>
      <c r="J8" s="134"/>
      <c r="K8" s="137">
        <v>233.91999999999462</v>
      </c>
      <c r="L8" s="135">
        <v>3.439814814814318E-4</v>
      </c>
      <c r="M8" s="138">
        <v>1.9298701298698511</v>
      </c>
      <c r="N8" s="139">
        <v>6.3672906856552229</v>
      </c>
      <c r="O8" s="140">
        <v>18.5</v>
      </c>
      <c r="P8" s="208"/>
      <c r="Q8" s="142"/>
      <c r="R8" s="183"/>
      <c r="S8" s="183"/>
      <c r="T8" s="199" t="e">
        <f t="shared" si="2"/>
        <v>#REF!</v>
      </c>
      <c r="U8" s="200" t="e">
        <f t="shared" si="3"/>
        <v>#REF!</v>
      </c>
      <c r="V8" s="201" t="e">
        <f t="shared" si="4"/>
        <v>#REF!</v>
      </c>
      <c r="W8" s="417">
        <f t="shared" si="5"/>
        <v>932.45</v>
      </c>
      <c r="X8" s="418">
        <f t="shared" si="6"/>
        <v>608.85</v>
      </c>
      <c r="Y8" s="202">
        <f t="shared" si="7"/>
        <v>550.20000000000005</v>
      </c>
      <c r="Z8" s="191"/>
      <c r="AA8" s="203">
        <f t="shared" ref="AA8:AA31" si="8">IF(ISBLANK(B8),"",IFERROR(20*($P$3+1-$B8)/$P$3,"20.0"))</f>
        <v>18.46153846153846</v>
      </c>
      <c r="AB8" s="198">
        <f t="shared" ref="AB8:AB31" si="9">IF(ISBLANK(B8),"",IFERROR(30*($P$3+1-$B8)/$P$3,"30.0"))</f>
        <v>27.692307692307693</v>
      </c>
      <c r="AC8" s="204">
        <f t="shared" ref="AC8:AC31" si="10">IF(ISBLANK(B8),"",IFERROR(30*($P$3-$B8)/($P$3-1)+10,"20.0"))</f>
        <v>37.5</v>
      </c>
    </row>
    <row r="9" spans="1:29" ht="14" x14ac:dyDescent="0.2">
      <c r="A9" s="103"/>
      <c r="B9" s="131">
        <v>3</v>
      </c>
      <c r="C9" s="132">
        <v>150</v>
      </c>
      <c r="D9" s="133" t="str">
        <f t="shared" si="0"/>
        <v>SHARK X</v>
      </c>
      <c r="E9" s="216" t="e">
        <f t="shared" si="1"/>
        <v>#REF!</v>
      </c>
      <c r="F9" s="134">
        <v>3</v>
      </c>
      <c r="G9" s="135">
        <v>0.53311342592592592</v>
      </c>
      <c r="H9" s="132">
        <v>8261</v>
      </c>
      <c r="I9" s="136">
        <v>520.98749999999995</v>
      </c>
      <c r="J9" s="134"/>
      <c r="K9" s="137">
        <v>237.79250000000047</v>
      </c>
      <c r="L9" s="135">
        <v>3.8880208333335145E-4</v>
      </c>
      <c r="M9" s="138">
        <v>2.1813311688312704</v>
      </c>
      <c r="N9" s="139">
        <v>6.7110519307589884</v>
      </c>
      <c r="O9" s="140">
        <v>16.899999999999999</v>
      </c>
      <c r="P9" s="141"/>
      <c r="Q9" s="142"/>
      <c r="R9" s="183"/>
      <c r="S9" s="183"/>
      <c r="T9" s="199" t="e">
        <f t="shared" si="2"/>
        <v>#REF!</v>
      </c>
      <c r="U9" s="200" t="e">
        <f t="shared" si="3"/>
        <v>#REF!</v>
      </c>
      <c r="V9" s="201" t="e">
        <f t="shared" si="4"/>
        <v>#REF!</v>
      </c>
      <c r="W9" s="417">
        <f t="shared" si="5"/>
        <v>845.69100000000003</v>
      </c>
      <c r="X9" s="418">
        <f t="shared" si="6"/>
        <v>572.35887500000001</v>
      </c>
      <c r="Y9" s="202">
        <f t="shared" si="7"/>
        <v>520.98749999999995</v>
      </c>
      <c r="Z9" s="191"/>
      <c r="AA9" s="203">
        <f t="shared" si="8"/>
        <v>16.923076923076923</v>
      </c>
      <c r="AB9" s="198">
        <f t="shared" si="9"/>
        <v>25.384615384615383</v>
      </c>
      <c r="AC9" s="204">
        <f t="shared" si="10"/>
        <v>35</v>
      </c>
    </row>
    <row r="10" spans="1:29" ht="14" x14ac:dyDescent="0.2">
      <c r="A10" s="103"/>
      <c r="B10" s="131">
        <v>4</v>
      </c>
      <c r="C10" s="132">
        <v>1611</v>
      </c>
      <c r="D10" s="133" t="str">
        <f t="shared" si="0"/>
        <v>ﾈﾌﾟﾁｭｰﾝXⅡ</v>
      </c>
      <c r="E10" s="216" t="e">
        <f t="shared" si="1"/>
        <v>#REF!</v>
      </c>
      <c r="F10" s="134">
        <v>5</v>
      </c>
      <c r="G10" s="135">
        <v>0.53684027777777776</v>
      </c>
      <c r="H10" s="132">
        <v>8582.9999999999982</v>
      </c>
      <c r="I10" s="136">
        <v>540.29999999999995</v>
      </c>
      <c r="J10" s="134"/>
      <c r="K10" s="137">
        <v>262.3799999999992</v>
      </c>
      <c r="L10" s="135">
        <v>6.7337962962963304E-4</v>
      </c>
      <c r="M10" s="138">
        <v>3.7779220779220966</v>
      </c>
      <c r="N10" s="139">
        <v>6.4592799720377503</v>
      </c>
      <c r="O10" s="140">
        <v>15.4</v>
      </c>
      <c r="P10" s="141"/>
      <c r="Q10" s="142"/>
      <c r="R10" s="183"/>
      <c r="S10" s="183"/>
      <c r="T10" s="199" t="e">
        <f t="shared" si="2"/>
        <v>#REF!</v>
      </c>
      <c r="U10" s="200" t="e">
        <f t="shared" si="3"/>
        <v>#REF!</v>
      </c>
      <c r="V10" s="201" t="e">
        <f t="shared" si="4"/>
        <v>#REF!</v>
      </c>
      <c r="W10" s="417">
        <f t="shared" si="5"/>
        <v>921.65</v>
      </c>
      <c r="X10" s="418">
        <f t="shared" si="6"/>
        <v>594.45000000000005</v>
      </c>
      <c r="Y10" s="202">
        <f t="shared" si="7"/>
        <v>540.29999999999995</v>
      </c>
      <c r="Z10" s="191"/>
      <c r="AA10" s="203">
        <f t="shared" si="8"/>
        <v>15.384615384615385</v>
      </c>
      <c r="AB10" s="198">
        <f t="shared" si="9"/>
        <v>23.076923076923077</v>
      </c>
      <c r="AC10" s="204">
        <f t="shared" si="10"/>
        <v>32.5</v>
      </c>
    </row>
    <row r="11" spans="1:29" ht="14" x14ac:dyDescent="0.2">
      <c r="A11" s="103"/>
      <c r="B11" s="143">
        <v>5</v>
      </c>
      <c r="C11" s="144">
        <v>6269</v>
      </c>
      <c r="D11" s="145" t="str">
        <f t="shared" si="0"/>
        <v>VITTORIA</v>
      </c>
      <c r="E11" s="217" t="e">
        <f t="shared" si="1"/>
        <v>#REF!</v>
      </c>
      <c r="F11" s="146">
        <v>2</v>
      </c>
      <c r="G11" s="147">
        <v>0.53033564814814815</v>
      </c>
      <c r="H11" s="148">
        <v>8021</v>
      </c>
      <c r="I11" s="149">
        <v>492.52499999999998</v>
      </c>
      <c r="J11" s="150"/>
      <c r="K11" s="151">
        <v>436.11499999999978</v>
      </c>
      <c r="L11" s="152">
        <v>2.6842013888888992E-3</v>
      </c>
      <c r="M11" s="153">
        <v>15.059415584415641</v>
      </c>
      <c r="N11" s="154">
        <v>6.9118563770103476</v>
      </c>
      <c r="O11" s="155">
        <v>13.8</v>
      </c>
      <c r="P11" s="210"/>
      <c r="Q11" s="157"/>
      <c r="R11" s="183"/>
      <c r="S11" s="183"/>
      <c r="T11" s="199" t="e">
        <f t="shared" si="2"/>
        <v>#REF!</v>
      </c>
      <c r="U11" s="200" t="e">
        <f t="shared" si="3"/>
        <v>#REF!</v>
      </c>
      <c r="V11" s="201" t="e">
        <f t="shared" si="4"/>
        <v>#REF!</v>
      </c>
      <c r="W11" s="417">
        <f t="shared" si="5"/>
        <v>798.60199999999998</v>
      </c>
      <c r="X11" s="418">
        <f t="shared" si="6"/>
        <v>542.56262500000003</v>
      </c>
      <c r="Y11" s="202">
        <f t="shared" si="7"/>
        <v>492.52499999999998</v>
      </c>
      <c r="Z11" s="191"/>
      <c r="AA11" s="203">
        <f t="shared" si="8"/>
        <v>13.846153846153847</v>
      </c>
      <c r="AB11" s="198">
        <f t="shared" si="9"/>
        <v>20.76923076923077</v>
      </c>
      <c r="AC11" s="204">
        <f t="shared" si="10"/>
        <v>30</v>
      </c>
    </row>
    <row r="12" spans="1:29" ht="14" x14ac:dyDescent="0.2">
      <c r="A12" s="103"/>
      <c r="B12" s="120">
        <v>6</v>
      </c>
      <c r="C12" s="121">
        <v>321</v>
      </c>
      <c r="D12" s="177" t="str">
        <f t="shared" si="0"/>
        <v>かまくら</v>
      </c>
      <c r="E12" s="215" t="e">
        <f t="shared" si="1"/>
        <v>#REF!</v>
      </c>
      <c r="F12" s="123">
        <v>4</v>
      </c>
      <c r="G12" s="124">
        <v>0.53427083333333336</v>
      </c>
      <c r="H12" s="121">
        <v>8361.0000000000018</v>
      </c>
      <c r="I12" s="125">
        <v>508.7</v>
      </c>
      <c r="J12" s="123"/>
      <c r="K12" s="126">
        <v>527.02000000000226</v>
      </c>
      <c r="L12" s="124">
        <v>3.7363425925926314E-3</v>
      </c>
      <c r="M12" s="127">
        <v>20.96233766233788</v>
      </c>
      <c r="N12" s="128">
        <v>6.6307857911733032</v>
      </c>
      <c r="O12" s="129">
        <v>12.3</v>
      </c>
      <c r="P12" s="332"/>
      <c r="Q12" s="130"/>
      <c r="R12" s="183"/>
      <c r="S12" s="183"/>
      <c r="T12" s="199" t="e">
        <f t="shared" si="2"/>
        <v>#REF!</v>
      </c>
      <c r="U12" s="200" t="e">
        <f t="shared" si="3"/>
        <v>#REF!</v>
      </c>
      <c r="V12" s="201" t="e">
        <f t="shared" si="4"/>
        <v>#REF!</v>
      </c>
      <c r="W12" s="417">
        <f t="shared" si="5"/>
        <v>845.65</v>
      </c>
      <c r="X12" s="418">
        <f t="shared" si="6"/>
        <v>566.375</v>
      </c>
      <c r="Y12" s="202">
        <f t="shared" si="7"/>
        <v>508.7</v>
      </c>
      <c r="Z12" s="191"/>
      <c r="AA12" s="203">
        <f t="shared" si="8"/>
        <v>12.307692307692308</v>
      </c>
      <c r="AB12" s="198">
        <f t="shared" si="9"/>
        <v>18.46153846153846</v>
      </c>
      <c r="AC12" s="204">
        <f t="shared" si="10"/>
        <v>27.5</v>
      </c>
    </row>
    <row r="13" spans="1:29" ht="14" x14ac:dyDescent="0.2">
      <c r="A13" s="103"/>
      <c r="B13" s="131">
        <v>7</v>
      </c>
      <c r="C13" s="132">
        <v>346</v>
      </c>
      <c r="D13" s="133" t="str">
        <f t="shared" si="0"/>
        <v>飛車角</v>
      </c>
      <c r="E13" s="216" t="e">
        <f t="shared" si="1"/>
        <v>#REF!</v>
      </c>
      <c r="F13" s="134">
        <v>8</v>
      </c>
      <c r="G13" s="135">
        <v>0.53950231481481481</v>
      </c>
      <c r="H13" s="132">
        <v>8813</v>
      </c>
      <c r="I13" s="136">
        <v>519.29999999999995</v>
      </c>
      <c r="J13" s="134"/>
      <c r="K13" s="137">
        <v>815.78000000000065</v>
      </c>
      <c r="L13" s="135">
        <v>7.0784722222222421E-3</v>
      </c>
      <c r="M13" s="138">
        <v>39.712987012987128</v>
      </c>
      <c r="N13" s="139">
        <v>6.2907069102462279</v>
      </c>
      <c r="O13" s="140">
        <v>10.8</v>
      </c>
      <c r="P13" s="333"/>
      <c r="Q13" s="142"/>
      <c r="R13" s="183"/>
      <c r="S13" s="183"/>
      <c r="T13" s="199" t="e">
        <f t="shared" si="2"/>
        <v>#REF!</v>
      </c>
      <c r="U13" s="200" t="e">
        <f t="shared" si="3"/>
        <v>#REF!</v>
      </c>
      <c r="V13" s="201" t="e">
        <f t="shared" si="4"/>
        <v>#REF!</v>
      </c>
      <c r="W13" s="417">
        <f t="shared" si="5"/>
        <v>849.85</v>
      </c>
      <c r="X13" s="418">
        <f t="shared" si="6"/>
        <v>567.375</v>
      </c>
      <c r="Y13" s="202">
        <f t="shared" si="7"/>
        <v>519.29999999999995</v>
      </c>
      <c r="Z13" s="191"/>
      <c r="AA13" s="203">
        <f t="shared" si="8"/>
        <v>10.76923076923077</v>
      </c>
      <c r="AB13" s="198">
        <f t="shared" si="9"/>
        <v>16.153846153846153</v>
      </c>
      <c r="AC13" s="204">
        <f t="shared" si="10"/>
        <v>25</v>
      </c>
    </row>
    <row r="14" spans="1:29" ht="14" x14ac:dyDescent="0.2">
      <c r="A14" s="103"/>
      <c r="B14" s="131">
        <v>8</v>
      </c>
      <c r="C14" s="132">
        <v>2759</v>
      </c>
      <c r="D14" s="133" t="str">
        <f t="shared" si="0"/>
        <v>IXORA Ⅳ</v>
      </c>
      <c r="E14" s="216" t="e">
        <f t="shared" si="1"/>
        <v>#REF!</v>
      </c>
      <c r="F14" s="134">
        <v>6</v>
      </c>
      <c r="G14" s="135">
        <v>0.53792824074074075</v>
      </c>
      <c r="H14" s="132">
        <v>8677</v>
      </c>
      <c r="I14" s="136">
        <v>508.8</v>
      </c>
      <c r="J14" s="134"/>
      <c r="K14" s="137">
        <v>841.47999999999956</v>
      </c>
      <c r="L14" s="135">
        <v>7.3759259259259333E-3</v>
      </c>
      <c r="M14" s="138">
        <v>41.381818181818225</v>
      </c>
      <c r="N14" s="139">
        <v>6.38930505935231</v>
      </c>
      <c r="O14" s="140">
        <v>9.1999999999999993</v>
      </c>
      <c r="P14" s="174"/>
      <c r="Q14" s="142"/>
      <c r="R14" s="183"/>
      <c r="S14" s="183"/>
      <c r="T14" s="199" t="e">
        <f t="shared" si="2"/>
        <v>#REF!</v>
      </c>
      <c r="U14" s="200" t="e">
        <f t="shared" si="3"/>
        <v>#REF!</v>
      </c>
      <c r="V14" s="201" t="e">
        <f t="shared" si="4"/>
        <v>#REF!</v>
      </c>
      <c r="W14" s="417">
        <f t="shared" si="5"/>
        <v>831.15</v>
      </c>
      <c r="X14" s="418">
        <f t="shared" si="6"/>
        <v>565.70000000000005</v>
      </c>
      <c r="Y14" s="202">
        <f t="shared" si="7"/>
        <v>508.8</v>
      </c>
      <c r="Z14" s="191"/>
      <c r="AA14" s="203">
        <f t="shared" si="8"/>
        <v>9.2307692307692299</v>
      </c>
      <c r="AB14" s="198">
        <f t="shared" si="9"/>
        <v>13.846153846153847</v>
      </c>
      <c r="AC14" s="204">
        <f t="shared" si="10"/>
        <v>22.5</v>
      </c>
    </row>
    <row r="15" spans="1:29" ht="14" x14ac:dyDescent="0.2">
      <c r="A15" s="103"/>
      <c r="B15" s="131">
        <v>9</v>
      </c>
      <c r="C15" s="132">
        <v>6732</v>
      </c>
      <c r="D15" s="133" t="str">
        <f t="shared" si="0"/>
        <v>アイデアル</v>
      </c>
      <c r="E15" s="216" t="e">
        <f t="shared" si="1"/>
        <v>#REF!</v>
      </c>
      <c r="F15" s="134">
        <v>10</v>
      </c>
      <c r="G15" s="135">
        <v>0.54056712962962961</v>
      </c>
      <c r="H15" s="132">
        <v>8904.9999999999982</v>
      </c>
      <c r="I15" s="136">
        <v>520.62384764970795</v>
      </c>
      <c r="J15" s="134"/>
      <c r="K15" s="137">
        <v>887.39274619449588</v>
      </c>
      <c r="L15" s="135">
        <v>7.9073234513251968E-3</v>
      </c>
      <c r="M15" s="138">
        <v>44.363165337304999</v>
      </c>
      <c r="N15" s="139">
        <v>6.225715889949468</v>
      </c>
      <c r="O15" s="140">
        <v>7.7</v>
      </c>
      <c r="P15" s="141"/>
      <c r="Q15" s="142"/>
      <c r="R15" s="183"/>
      <c r="S15" s="183"/>
      <c r="T15" s="199" t="e">
        <f t="shared" si="2"/>
        <v>#REF!</v>
      </c>
      <c r="U15" s="200" t="e">
        <f t="shared" si="3"/>
        <v>#REF!</v>
      </c>
      <c r="V15" s="201" t="e">
        <f t="shared" si="4"/>
        <v>#REF!</v>
      </c>
      <c r="W15" s="417">
        <f t="shared" si="5"/>
        <v>855.39381721722395</v>
      </c>
      <c r="X15" s="418">
        <f t="shared" si="6"/>
        <v>571.993913255998</v>
      </c>
      <c r="Y15" s="202">
        <f t="shared" si="7"/>
        <v>520.62384764970795</v>
      </c>
      <c r="Z15" s="191"/>
      <c r="AA15" s="203">
        <f t="shared" si="8"/>
        <v>7.6923076923076925</v>
      </c>
      <c r="AB15" s="198">
        <f t="shared" si="9"/>
        <v>11.538461538461538</v>
      </c>
      <c r="AC15" s="204">
        <f t="shared" si="10"/>
        <v>20</v>
      </c>
    </row>
    <row r="16" spans="1:29" ht="14" x14ac:dyDescent="0.2">
      <c r="A16" s="103"/>
      <c r="B16" s="143">
        <v>10</v>
      </c>
      <c r="C16" s="144">
        <v>5496</v>
      </c>
      <c r="D16" s="502" t="str">
        <f t="shared" si="0"/>
        <v>桜工</v>
      </c>
      <c r="E16" s="217" t="e">
        <f t="shared" si="1"/>
        <v>#REF!</v>
      </c>
      <c r="F16" s="146">
        <v>9</v>
      </c>
      <c r="G16" s="147">
        <v>0.53997685185185185</v>
      </c>
      <c r="H16" s="144">
        <v>8854</v>
      </c>
      <c r="I16" s="503">
        <v>515.75</v>
      </c>
      <c r="J16" s="146"/>
      <c r="K16" s="160">
        <v>911.44999999999982</v>
      </c>
      <c r="L16" s="147">
        <v>8.1857638888888987E-3</v>
      </c>
      <c r="M16" s="161">
        <v>45.925324675324731</v>
      </c>
      <c r="N16" s="162">
        <v>6.2615766885023723</v>
      </c>
      <c r="O16" s="163">
        <v>6.2</v>
      </c>
      <c r="P16" s="210"/>
      <c r="Q16" s="157"/>
      <c r="R16" s="183"/>
      <c r="S16" s="183"/>
      <c r="T16" s="199" t="e">
        <f t="shared" si="2"/>
        <v>#REF!</v>
      </c>
      <c r="U16" s="200" t="e">
        <f t="shared" si="3"/>
        <v>#REF!</v>
      </c>
      <c r="V16" s="201" t="e">
        <f t="shared" si="4"/>
        <v>#REF!</v>
      </c>
      <c r="W16" s="417">
        <f t="shared" si="5"/>
        <v>868</v>
      </c>
      <c r="X16" s="418">
        <f t="shared" si="6"/>
        <v>575.9</v>
      </c>
      <c r="Y16" s="202">
        <f t="shared" si="7"/>
        <v>515.75</v>
      </c>
      <c r="Z16" s="191"/>
      <c r="AA16" s="203">
        <f t="shared" si="8"/>
        <v>6.1538461538461542</v>
      </c>
      <c r="AB16" s="198">
        <f t="shared" si="9"/>
        <v>9.2307692307692299</v>
      </c>
      <c r="AC16" s="204">
        <f t="shared" si="10"/>
        <v>17.5</v>
      </c>
    </row>
    <row r="17" spans="1:29" ht="14" x14ac:dyDescent="0.2">
      <c r="A17" s="103"/>
      <c r="B17" s="120">
        <v>11</v>
      </c>
      <c r="C17" s="121">
        <v>4071</v>
      </c>
      <c r="D17" s="133" t="str">
        <f>IF(ISBLANK(C17),"",VLOOKUP(C17,第2月ＴＡ,2,FALSE))</f>
        <v>胡桃</v>
      </c>
      <c r="E17" s="215" t="e">
        <f t="shared" si="1"/>
        <v>#REF!</v>
      </c>
      <c r="F17" s="123">
        <v>11</v>
      </c>
      <c r="G17" s="124">
        <v>0.54348379629629628</v>
      </c>
      <c r="H17" s="121">
        <v>9156.9999999999982</v>
      </c>
      <c r="I17" s="504">
        <v>529.04999999999995</v>
      </c>
      <c r="J17" s="123"/>
      <c r="K17" s="126">
        <v>1009.6299999999983</v>
      </c>
      <c r="L17" s="124">
        <v>9.3221064814814746E-3</v>
      </c>
      <c r="M17" s="127">
        <v>52.300649350649309</v>
      </c>
      <c r="N17" s="128">
        <v>6.0543846237850829</v>
      </c>
      <c r="O17" s="129">
        <v>4.5999999999999996</v>
      </c>
      <c r="P17" s="214"/>
      <c r="Q17" s="130"/>
      <c r="R17" s="183"/>
      <c r="S17" s="183"/>
      <c r="T17" s="199" t="e">
        <f t="shared" si="2"/>
        <v>#REF!</v>
      </c>
      <c r="U17" s="200" t="e">
        <f t="shared" si="3"/>
        <v>#REF!</v>
      </c>
      <c r="V17" s="201" t="e">
        <f t="shared" si="4"/>
        <v>#REF!</v>
      </c>
      <c r="W17" s="417">
        <f t="shared" si="5"/>
        <v>917.35</v>
      </c>
      <c r="X17" s="418">
        <f t="shared" si="6"/>
        <v>588.32500000000005</v>
      </c>
      <c r="Y17" s="202">
        <f t="shared" si="7"/>
        <v>529.04999999999995</v>
      </c>
      <c r="Z17" s="191"/>
      <c r="AA17" s="203">
        <f t="shared" si="8"/>
        <v>4.615384615384615</v>
      </c>
      <c r="AB17" s="198">
        <f t="shared" si="9"/>
        <v>6.9230769230769234</v>
      </c>
      <c r="AC17" s="204">
        <f t="shared" si="10"/>
        <v>15</v>
      </c>
    </row>
    <row r="18" spans="1:29" ht="14" x14ac:dyDescent="0.2">
      <c r="A18" s="103"/>
      <c r="B18" s="131">
        <v>12</v>
      </c>
      <c r="C18" s="132">
        <v>131</v>
      </c>
      <c r="D18" s="133" t="str">
        <f>IF(ISBLANK(C18),"",VLOOKUP(C18,第2月ＴＡ,2,FALSE))</f>
        <v>ふるたか</v>
      </c>
      <c r="E18" s="216" t="e">
        <f t="shared" si="1"/>
        <v>#REF!</v>
      </c>
      <c r="F18" s="134">
        <v>12</v>
      </c>
      <c r="G18" s="135">
        <v>0.56049768518518517</v>
      </c>
      <c r="H18" s="132">
        <v>10626.999999999998</v>
      </c>
      <c r="I18" s="136">
        <v>533.64966543912703</v>
      </c>
      <c r="J18" s="134"/>
      <c r="K18" s="137">
        <v>2408.7951522374424</v>
      </c>
      <c r="L18" s="135">
        <v>2.551614759534078E-2</v>
      </c>
      <c r="M18" s="138">
        <v>143.15552936606775</v>
      </c>
      <c r="N18" s="139">
        <v>5.2169003481697569</v>
      </c>
      <c r="O18" s="140">
        <v>3.1</v>
      </c>
      <c r="P18" s="174"/>
      <c r="Q18" s="142"/>
      <c r="R18" s="183"/>
      <c r="S18" s="183"/>
      <c r="T18" s="199" t="e">
        <f t="shared" si="2"/>
        <v>#REF!</v>
      </c>
      <c r="U18" s="200" t="e">
        <f t="shared" si="3"/>
        <v>#REF!</v>
      </c>
      <c r="V18" s="201" t="e">
        <f t="shared" si="4"/>
        <v>#REF!</v>
      </c>
      <c r="W18" s="417">
        <f t="shared" si="5"/>
        <v>900.07179410207902</v>
      </c>
      <c r="X18" s="418">
        <f t="shared" si="6"/>
        <v>587.55212564843805</v>
      </c>
      <c r="Y18" s="202">
        <f t="shared" si="7"/>
        <v>533.64966543912703</v>
      </c>
      <c r="Z18" s="191"/>
      <c r="AA18" s="203">
        <f t="shared" si="8"/>
        <v>3.0769230769230771</v>
      </c>
      <c r="AB18" s="198">
        <f t="shared" si="9"/>
        <v>4.615384615384615</v>
      </c>
      <c r="AC18" s="204">
        <f t="shared" si="10"/>
        <v>12.5</v>
      </c>
    </row>
    <row r="19" spans="1:29" ht="14" x14ac:dyDescent="0.2">
      <c r="A19" s="103"/>
      <c r="B19" s="131">
        <v>13</v>
      </c>
      <c r="C19" s="132">
        <v>199</v>
      </c>
      <c r="D19" s="133" t="str">
        <f t="shared" ref="D19:D31" si="11">IF(ISBLANK(C19),"",VLOOKUP(C19,第2月ＴＡ,2,FALSE))</f>
        <v>サ－モン4</v>
      </c>
      <c r="E19" s="216" t="e">
        <f t="shared" ref="E19:E26" si="12">IF($I$6="Ⅰ",T19,IF($I$6="Ⅱ",U19,IF($I$6="Ⅲ",V19,"")))</f>
        <v>#REF!</v>
      </c>
      <c r="F19" s="134">
        <v>13</v>
      </c>
      <c r="G19" s="135"/>
      <c r="H19" s="132" t="s">
        <v>74</v>
      </c>
      <c r="I19" s="136">
        <v>505.6</v>
      </c>
      <c r="J19" s="134"/>
      <c r="K19" s="137" t="s">
        <v>74</v>
      </c>
      <c r="L19" s="135" t="s">
        <v>74</v>
      </c>
      <c r="M19" s="138" t="s">
        <v>74</v>
      </c>
      <c r="N19" s="139" t="s">
        <v>74</v>
      </c>
      <c r="O19" s="140">
        <v>1</v>
      </c>
      <c r="P19" s="174" t="s">
        <v>315</v>
      </c>
      <c r="Q19" s="142"/>
      <c r="R19" s="183"/>
      <c r="S19" s="183"/>
      <c r="T19" s="199" t="e">
        <f t="shared" si="2"/>
        <v>#REF!</v>
      </c>
      <c r="U19" s="200" t="e">
        <f t="shared" si="3"/>
        <v>#REF!</v>
      </c>
      <c r="V19" s="201" t="e">
        <f t="shared" si="4"/>
        <v>#REF!</v>
      </c>
      <c r="W19" s="417">
        <f t="shared" si="5"/>
        <v>878.35</v>
      </c>
      <c r="X19" s="418">
        <f t="shared" si="6"/>
        <v>568</v>
      </c>
      <c r="Y19" s="202">
        <f t="shared" si="7"/>
        <v>505.6</v>
      </c>
      <c r="Z19" s="191"/>
      <c r="AA19" s="203">
        <f t="shared" si="8"/>
        <v>1.5384615384615385</v>
      </c>
      <c r="AB19" s="198">
        <f t="shared" si="9"/>
        <v>2.3076923076923075</v>
      </c>
      <c r="AC19" s="204">
        <f t="shared" si="10"/>
        <v>10</v>
      </c>
    </row>
    <row r="20" spans="1:29" ht="14" x14ac:dyDescent="0.2">
      <c r="A20" s="103"/>
      <c r="B20" s="131">
        <v>14</v>
      </c>
      <c r="C20" s="132">
        <v>312</v>
      </c>
      <c r="D20" s="133" t="str">
        <f t="shared" si="11"/>
        <v>はやとり</v>
      </c>
      <c r="E20" s="216" t="e">
        <f t="shared" si="12"/>
        <v>#REF!</v>
      </c>
      <c r="F20" s="134">
        <v>14</v>
      </c>
      <c r="G20" s="135"/>
      <c r="H20" s="132" t="s">
        <v>74</v>
      </c>
      <c r="I20" s="136">
        <v>540.29999999999995</v>
      </c>
      <c r="J20" s="134"/>
      <c r="K20" s="137" t="s">
        <v>74</v>
      </c>
      <c r="L20" s="135" t="s">
        <v>74</v>
      </c>
      <c r="M20" s="138" t="s">
        <v>74</v>
      </c>
      <c r="N20" s="139" t="s">
        <v>74</v>
      </c>
      <c r="O20" s="140">
        <v>10.7</v>
      </c>
      <c r="P20" s="214" t="s">
        <v>316</v>
      </c>
      <c r="Q20" s="142"/>
      <c r="R20" s="183"/>
      <c r="S20" s="183"/>
      <c r="T20" s="199" t="e">
        <f t="shared" si="2"/>
        <v>#REF!</v>
      </c>
      <c r="U20" s="200" t="e">
        <f t="shared" si="3"/>
        <v>#REF!</v>
      </c>
      <c r="V20" s="201" t="e">
        <f t="shared" si="4"/>
        <v>#REF!</v>
      </c>
      <c r="W20" s="417">
        <f t="shared" si="5"/>
        <v>895.25</v>
      </c>
      <c r="X20" s="418">
        <f t="shared" si="6"/>
        <v>594.27499999999998</v>
      </c>
      <c r="Y20" s="202">
        <f t="shared" si="7"/>
        <v>540.29999999999995</v>
      </c>
      <c r="Z20" s="191"/>
      <c r="AA20" s="203">
        <f t="shared" si="8"/>
        <v>0</v>
      </c>
      <c r="AB20" s="198">
        <f t="shared" si="9"/>
        <v>0</v>
      </c>
      <c r="AC20" s="204">
        <f t="shared" si="10"/>
        <v>7.5</v>
      </c>
    </row>
    <row r="21" spans="1:29" ht="14" x14ac:dyDescent="0.2">
      <c r="A21" s="103"/>
      <c r="B21" s="143">
        <v>15</v>
      </c>
      <c r="C21" s="144"/>
      <c r="D21" s="145" t="str">
        <f t="shared" si="11"/>
        <v/>
      </c>
      <c r="E21" s="217" t="str">
        <f t="shared" si="12"/>
        <v/>
      </c>
      <c r="F21" s="146">
        <v>15</v>
      </c>
      <c r="G21" s="147"/>
      <c r="H21" s="144" t="str">
        <f t="shared" ref="H21:H26" si="13">IFERROR(IF(G21-$Q$2&lt;=0,"",(G21-$Q$2)*86400),"")</f>
        <v/>
      </c>
      <c r="I21" s="158" t="str">
        <f t="shared" ref="I21:I26" si="14">IF($I$6="Ⅰ",W21,IF($I$6="Ⅱ",X21,IF($I$6="Ⅲ",Y21,"")))</f>
        <v/>
      </c>
      <c r="J21" s="146"/>
      <c r="K21" s="160" t="str">
        <f t="shared" ref="K21:K26" si="15">IFERROR(H21*(1+0.01*J21)-I21*$N$3,"")</f>
        <v/>
      </c>
      <c r="L21" s="147" t="str">
        <f t="shared" ref="L21:L26" si="16">IFERROR((K21-$K$7)/86400,"")</f>
        <v/>
      </c>
      <c r="M21" s="161" t="str">
        <f t="shared" ref="M21:M26" si="17">IFERROR((K21-$K$7)/$N$3,"")</f>
        <v/>
      </c>
      <c r="N21" s="162" t="str">
        <f t="shared" ref="N21:N26" si="18">IFERROR($N$3/(H21/3600),"")</f>
        <v/>
      </c>
      <c r="O21" s="163"/>
      <c r="P21" s="210"/>
      <c r="Q21" s="157"/>
      <c r="R21" s="183"/>
      <c r="S21" s="183"/>
      <c r="T21" s="199" t="str">
        <f t="shared" si="2"/>
        <v/>
      </c>
      <c r="U21" s="200" t="str">
        <f t="shared" si="3"/>
        <v/>
      </c>
      <c r="V21" s="201" t="str">
        <f t="shared" si="4"/>
        <v/>
      </c>
      <c r="W21" s="417" t="str">
        <f t="shared" si="5"/>
        <v/>
      </c>
      <c r="X21" s="418" t="str">
        <f t="shared" si="6"/>
        <v/>
      </c>
      <c r="Y21" s="202" t="str">
        <f t="shared" si="7"/>
        <v/>
      </c>
      <c r="Z21" s="191"/>
      <c r="AA21" s="203">
        <f t="shared" si="8"/>
        <v>-1.5384615384615385</v>
      </c>
      <c r="AB21" s="198">
        <f t="shared" si="9"/>
        <v>-2.3076923076923075</v>
      </c>
      <c r="AC21" s="204">
        <f t="shared" si="10"/>
        <v>5</v>
      </c>
    </row>
    <row r="22" spans="1:29" ht="14" x14ac:dyDescent="0.2">
      <c r="A22" s="103"/>
      <c r="B22" s="172">
        <v>16</v>
      </c>
      <c r="C22" s="121"/>
      <c r="D22" s="177" t="str">
        <f t="shared" si="11"/>
        <v/>
      </c>
      <c r="E22" s="215" t="str">
        <f t="shared" si="12"/>
        <v/>
      </c>
      <c r="F22" s="166">
        <v>16</v>
      </c>
      <c r="G22" s="124"/>
      <c r="H22" s="121" t="str">
        <f t="shared" si="13"/>
        <v/>
      </c>
      <c r="I22" s="125" t="str">
        <f t="shared" si="14"/>
        <v/>
      </c>
      <c r="J22" s="123"/>
      <c r="K22" s="126" t="str">
        <f t="shared" si="15"/>
        <v/>
      </c>
      <c r="L22" s="124" t="str">
        <f t="shared" si="16"/>
        <v/>
      </c>
      <c r="M22" s="127" t="str">
        <f t="shared" si="17"/>
        <v/>
      </c>
      <c r="N22" s="128" t="str">
        <f t="shared" si="18"/>
        <v/>
      </c>
      <c r="O22" s="129"/>
      <c r="P22" s="219"/>
      <c r="Q22" s="173"/>
      <c r="R22" s="183"/>
      <c r="S22" s="183"/>
      <c r="T22" s="199" t="str">
        <f t="shared" si="2"/>
        <v/>
      </c>
      <c r="U22" s="200" t="str">
        <f t="shared" si="3"/>
        <v/>
      </c>
      <c r="V22" s="201" t="str">
        <f t="shared" si="4"/>
        <v/>
      </c>
      <c r="W22" s="417" t="str">
        <f t="shared" si="5"/>
        <v/>
      </c>
      <c r="X22" s="418" t="str">
        <f t="shared" si="6"/>
        <v/>
      </c>
      <c r="Y22" s="202" t="str">
        <f t="shared" si="7"/>
        <v/>
      </c>
      <c r="Z22" s="191"/>
      <c r="AA22" s="203">
        <f t="shared" si="8"/>
        <v>-3.0769230769230771</v>
      </c>
      <c r="AB22" s="198">
        <f t="shared" si="9"/>
        <v>-4.615384615384615</v>
      </c>
      <c r="AC22" s="204">
        <f t="shared" si="10"/>
        <v>2.5</v>
      </c>
    </row>
    <row r="23" spans="1:29" ht="14" x14ac:dyDescent="0.2">
      <c r="A23" s="103"/>
      <c r="B23" s="131">
        <v>17</v>
      </c>
      <c r="C23" s="132"/>
      <c r="D23" s="133" t="str">
        <f t="shared" si="11"/>
        <v/>
      </c>
      <c r="E23" s="216" t="str">
        <f t="shared" si="12"/>
        <v/>
      </c>
      <c r="F23" s="134">
        <v>17</v>
      </c>
      <c r="G23" s="135"/>
      <c r="H23" s="132" t="str">
        <f t="shared" si="13"/>
        <v/>
      </c>
      <c r="I23" s="136" t="str">
        <f t="shared" si="14"/>
        <v/>
      </c>
      <c r="J23" s="134"/>
      <c r="K23" s="137" t="str">
        <f t="shared" si="15"/>
        <v/>
      </c>
      <c r="L23" s="135" t="str">
        <f t="shared" si="16"/>
        <v/>
      </c>
      <c r="M23" s="138" t="str">
        <f t="shared" si="17"/>
        <v/>
      </c>
      <c r="N23" s="139" t="str">
        <f t="shared" si="18"/>
        <v/>
      </c>
      <c r="O23" s="140"/>
      <c r="P23" s="174"/>
      <c r="Q23" s="142"/>
      <c r="R23" s="183"/>
      <c r="S23" s="183"/>
      <c r="T23" s="199" t="str">
        <f t="shared" si="2"/>
        <v/>
      </c>
      <c r="U23" s="200" t="str">
        <f t="shared" si="3"/>
        <v/>
      </c>
      <c r="V23" s="201" t="str">
        <f t="shared" si="4"/>
        <v/>
      </c>
      <c r="W23" s="417" t="str">
        <f t="shared" si="5"/>
        <v/>
      </c>
      <c r="X23" s="418" t="str">
        <f t="shared" si="6"/>
        <v/>
      </c>
      <c r="Y23" s="202" t="str">
        <f t="shared" si="7"/>
        <v/>
      </c>
      <c r="Z23" s="191"/>
      <c r="AA23" s="203">
        <f t="shared" si="8"/>
        <v>-4.615384615384615</v>
      </c>
      <c r="AB23" s="198">
        <f t="shared" si="9"/>
        <v>-6.9230769230769234</v>
      </c>
      <c r="AC23" s="204">
        <f t="shared" si="10"/>
        <v>0</v>
      </c>
    </row>
    <row r="24" spans="1:29" ht="14" x14ac:dyDescent="0.2">
      <c r="A24" s="103"/>
      <c r="B24" s="172">
        <v>18</v>
      </c>
      <c r="C24" s="132"/>
      <c r="D24" s="133" t="str">
        <f t="shared" si="11"/>
        <v/>
      </c>
      <c r="E24" s="216" t="str">
        <f t="shared" si="12"/>
        <v/>
      </c>
      <c r="F24" s="134">
        <v>18</v>
      </c>
      <c r="G24" s="135"/>
      <c r="H24" s="132" t="str">
        <f t="shared" si="13"/>
        <v/>
      </c>
      <c r="I24" s="136" t="str">
        <f t="shared" si="14"/>
        <v/>
      </c>
      <c r="J24" s="134"/>
      <c r="K24" s="137" t="str">
        <f t="shared" si="15"/>
        <v/>
      </c>
      <c r="L24" s="135" t="str">
        <f t="shared" si="16"/>
        <v/>
      </c>
      <c r="M24" s="138" t="str">
        <f t="shared" si="17"/>
        <v/>
      </c>
      <c r="N24" s="139" t="str">
        <f t="shared" si="18"/>
        <v/>
      </c>
      <c r="O24" s="140"/>
      <c r="P24" s="175"/>
      <c r="Q24" s="142"/>
      <c r="R24" s="183"/>
      <c r="S24" s="183"/>
      <c r="T24" s="199" t="str">
        <f t="shared" si="2"/>
        <v/>
      </c>
      <c r="U24" s="200" t="str">
        <f t="shared" si="3"/>
        <v/>
      </c>
      <c r="V24" s="201" t="str">
        <f t="shared" si="4"/>
        <v/>
      </c>
      <c r="W24" s="417" t="str">
        <f t="shared" si="5"/>
        <v/>
      </c>
      <c r="X24" s="418" t="str">
        <f t="shared" si="6"/>
        <v/>
      </c>
      <c r="Y24" s="202" t="str">
        <f t="shared" si="7"/>
        <v/>
      </c>
      <c r="Z24" s="191"/>
      <c r="AA24" s="203">
        <f t="shared" si="8"/>
        <v>-6.1538461538461542</v>
      </c>
      <c r="AB24" s="198">
        <f t="shared" si="9"/>
        <v>-9.2307692307692299</v>
      </c>
      <c r="AC24" s="204">
        <f t="shared" si="10"/>
        <v>-2.5</v>
      </c>
    </row>
    <row r="25" spans="1:29" ht="14" x14ac:dyDescent="0.2">
      <c r="A25" s="103"/>
      <c r="B25" s="131">
        <v>19</v>
      </c>
      <c r="C25" s="132"/>
      <c r="D25" s="133" t="str">
        <f t="shared" si="11"/>
        <v/>
      </c>
      <c r="E25" s="216" t="str">
        <f t="shared" si="12"/>
        <v/>
      </c>
      <c r="F25" s="134">
        <v>19</v>
      </c>
      <c r="G25" s="135"/>
      <c r="H25" s="132" t="str">
        <f t="shared" si="13"/>
        <v/>
      </c>
      <c r="I25" s="136" t="str">
        <f t="shared" si="14"/>
        <v/>
      </c>
      <c r="J25" s="134"/>
      <c r="K25" s="137" t="str">
        <f t="shared" si="15"/>
        <v/>
      </c>
      <c r="L25" s="135" t="str">
        <f t="shared" si="16"/>
        <v/>
      </c>
      <c r="M25" s="138" t="str">
        <f t="shared" si="17"/>
        <v/>
      </c>
      <c r="N25" s="139" t="str">
        <f t="shared" si="18"/>
        <v/>
      </c>
      <c r="O25" s="140"/>
      <c r="P25" s="175"/>
      <c r="Q25" s="142"/>
      <c r="R25" s="183"/>
      <c r="S25" s="183"/>
      <c r="T25" s="199" t="str">
        <f t="shared" si="2"/>
        <v/>
      </c>
      <c r="U25" s="200" t="str">
        <f t="shared" si="3"/>
        <v/>
      </c>
      <c r="V25" s="201" t="str">
        <f t="shared" si="4"/>
        <v/>
      </c>
      <c r="W25" s="417" t="str">
        <f t="shared" si="5"/>
        <v/>
      </c>
      <c r="X25" s="418" t="str">
        <f t="shared" si="6"/>
        <v/>
      </c>
      <c r="Y25" s="202" t="str">
        <f t="shared" si="7"/>
        <v/>
      </c>
      <c r="Z25" s="191"/>
      <c r="AA25" s="203">
        <f t="shared" si="8"/>
        <v>-7.6923076923076925</v>
      </c>
      <c r="AB25" s="198">
        <f t="shared" si="9"/>
        <v>-11.538461538461538</v>
      </c>
      <c r="AC25" s="204">
        <f t="shared" si="10"/>
        <v>-5</v>
      </c>
    </row>
    <row r="26" spans="1:29" ht="14" x14ac:dyDescent="0.2">
      <c r="A26" s="103"/>
      <c r="B26" s="143">
        <v>20</v>
      </c>
      <c r="C26" s="144"/>
      <c r="D26" s="145" t="str">
        <f t="shared" si="11"/>
        <v/>
      </c>
      <c r="E26" s="217" t="str">
        <f t="shared" si="12"/>
        <v/>
      </c>
      <c r="F26" s="146">
        <v>20</v>
      </c>
      <c r="G26" s="147"/>
      <c r="H26" s="144" t="str">
        <f t="shared" si="13"/>
        <v/>
      </c>
      <c r="I26" s="158" t="str">
        <f t="shared" si="14"/>
        <v/>
      </c>
      <c r="J26" s="146"/>
      <c r="K26" s="160" t="str">
        <f t="shared" si="15"/>
        <v/>
      </c>
      <c r="L26" s="147" t="str">
        <f t="shared" si="16"/>
        <v/>
      </c>
      <c r="M26" s="161" t="str">
        <f t="shared" si="17"/>
        <v/>
      </c>
      <c r="N26" s="162" t="str">
        <f t="shared" si="18"/>
        <v/>
      </c>
      <c r="O26" s="163"/>
      <c r="P26" s="176"/>
      <c r="Q26" s="157"/>
      <c r="R26" s="183"/>
      <c r="S26" s="183"/>
      <c r="T26" s="199" t="str">
        <f t="shared" si="2"/>
        <v/>
      </c>
      <c r="U26" s="200" t="str">
        <f t="shared" si="3"/>
        <v/>
      </c>
      <c r="V26" s="201" t="str">
        <f t="shared" si="4"/>
        <v/>
      </c>
      <c r="W26" s="417" t="str">
        <f t="shared" si="5"/>
        <v/>
      </c>
      <c r="X26" s="418" t="str">
        <f t="shared" si="6"/>
        <v/>
      </c>
      <c r="Y26" s="202" t="str">
        <f t="shared" si="7"/>
        <v/>
      </c>
      <c r="Z26" s="191"/>
      <c r="AA26" s="203">
        <f t="shared" si="8"/>
        <v>-9.2307692307692299</v>
      </c>
      <c r="AB26" s="198">
        <f t="shared" si="9"/>
        <v>-13.846153846153847</v>
      </c>
      <c r="AC26" s="204">
        <f t="shared" si="10"/>
        <v>-7.5</v>
      </c>
    </row>
    <row r="27" spans="1:29" ht="14" x14ac:dyDescent="0.2">
      <c r="A27" s="103"/>
      <c r="B27" s="172"/>
      <c r="C27" s="164"/>
      <c r="D27" s="177" t="str">
        <f t="shared" si="11"/>
        <v/>
      </c>
      <c r="E27" s="166"/>
      <c r="F27" s="166"/>
      <c r="G27" s="168"/>
      <c r="H27" s="121" t="str">
        <f>IFERROR(IF(G27-$Q$2&lt;=0,"",(G27-$Q$2)*86400),"")</f>
        <v/>
      </c>
      <c r="I27" s="125"/>
      <c r="J27" s="123"/>
      <c r="K27" s="126" t="str">
        <f>IFERROR(H27*(1+0.01*J27)-I27*$N$3,"")</f>
        <v/>
      </c>
      <c r="L27" s="124" t="str">
        <f>IFERROR((K27-$K$7)/86400,"")</f>
        <v/>
      </c>
      <c r="M27" s="127" t="str">
        <f>IFERROR((K27-$K$7)/$N$3,"")</f>
        <v/>
      </c>
      <c r="N27" s="128" t="str">
        <f>IFERROR($N$3/(H27/3600),"")</f>
        <v/>
      </c>
      <c r="O27" s="129"/>
      <c r="P27" s="178"/>
      <c r="Q27" s="173"/>
      <c r="R27" s="183"/>
      <c r="S27" s="183"/>
      <c r="T27" s="199" t="str">
        <f t="shared" si="2"/>
        <v/>
      </c>
      <c r="U27" s="200" t="str">
        <f t="shared" si="3"/>
        <v/>
      </c>
      <c r="V27" s="201" t="str">
        <f t="shared" si="4"/>
        <v/>
      </c>
      <c r="W27" s="417" t="str">
        <f t="shared" si="5"/>
        <v/>
      </c>
      <c r="X27" s="418" t="str">
        <f t="shared" si="6"/>
        <v/>
      </c>
      <c r="Y27" s="202" t="str">
        <f t="shared" si="7"/>
        <v/>
      </c>
      <c r="Z27" s="191"/>
      <c r="AA27" s="203" t="str">
        <f t="shared" si="8"/>
        <v/>
      </c>
      <c r="AB27" s="198" t="str">
        <f t="shared" si="9"/>
        <v/>
      </c>
      <c r="AC27" s="204" t="str">
        <f t="shared" si="10"/>
        <v/>
      </c>
    </row>
    <row r="28" spans="1:29" ht="14.25" customHeight="1" x14ac:dyDescent="0.2">
      <c r="A28" s="103"/>
      <c r="B28" s="131"/>
      <c r="C28" s="132"/>
      <c r="D28" s="133" t="str">
        <f t="shared" si="11"/>
        <v/>
      </c>
      <c r="E28" s="134"/>
      <c r="F28" s="134"/>
      <c r="G28" s="135"/>
      <c r="H28" s="132"/>
      <c r="I28" s="136"/>
      <c r="J28" s="134"/>
      <c r="K28" s="137"/>
      <c r="L28" s="135"/>
      <c r="M28" s="138"/>
      <c r="N28" s="139"/>
      <c r="O28" s="140"/>
      <c r="P28" s="179"/>
      <c r="Q28" s="142"/>
      <c r="R28" s="183"/>
      <c r="S28" s="183"/>
      <c r="T28" s="199" t="str">
        <f t="shared" si="2"/>
        <v/>
      </c>
      <c r="U28" s="200" t="str">
        <f t="shared" si="3"/>
        <v/>
      </c>
      <c r="V28" s="201" t="str">
        <f t="shared" si="4"/>
        <v/>
      </c>
      <c r="W28" s="417" t="str">
        <f t="shared" si="5"/>
        <v/>
      </c>
      <c r="X28" s="418" t="str">
        <f t="shared" si="6"/>
        <v/>
      </c>
      <c r="Y28" s="202" t="str">
        <f t="shared" si="7"/>
        <v/>
      </c>
      <c r="Z28" s="191"/>
      <c r="AA28" s="203" t="str">
        <f t="shared" si="8"/>
        <v/>
      </c>
      <c r="AB28" s="198" t="str">
        <f t="shared" si="9"/>
        <v/>
      </c>
      <c r="AC28" s="204" t="str">
        <f t="shared" si="10"/>
        <v/>
      </c>
    </row>
    <row r="29" spans="1:29" ht="14" x14ac:dyDescent="0.2">
      <c r="A29" s="103"/>
      <c r="B29" s="131"/>
      <c r="C29" s="132"/>
      <c r="D29" s="133" t="str">
        <f t="shared" si="11"/>
        <v/>
      </c>
      <c r="E29" s="134"/>
      <c r="F29" s="134"/>
      <c r="G29" s="135"/>
      <c r="H29" s="132"/>
      <c r="I29" s="136"/>
      <c r="J29" s="134"/>
      <c r="K29" s="137"/>
      <c r="L29" s="135"/>
      <c r="M29" s="138"/>
      <c r="N29" s="139"/>
      <c r="O29" s="140"/>
      <c r="P29" s="175"/>
      <c r="Q29" s="142"/>
      <c r="R29" s="183"/>
      <c r="S29" s="183"/>
      <c r="T29" s="199" t="str">
        <f t="shared" si="2"/>
        <v/>
      </c>
      <c r="U29" s="200" t="str">
        <f t="shared" si="3"/>
        <v/>
      </c>
      <c r="V29" s="201" t="str">
        <f t="shared" si="4"/>
        <v/>
      </c>
      <c r="W29" s="417" t="str">
        <f t="shared" si="5"/>
        <v/>
      </c>
      <c r="X29" s="418" t="str">
        <f t="shared" si="6"/>
        <v/>
      </c>
      <c r="Y29" s="202" t="str">
        <f t="shared" si="7"/>
        <v/>
      </c>
      <c r="Z29" s="191"/>
      <c r="AA29" s="203" t="str">
        <f t="shared" si="8"/>
        <v/>
      </c>
      <c r="AB29" s="198" t="str">
        <f t="shared" si="9"/>
        <v/>
      </c>
      <c r="AC29" s="204" t="str">
        <f t="shared" si="10"/>
        <v/>
      </c>
    </row>
    <row r="30" spans="1:29" ht="14.25" customHeight="1" x14ac:dyDescent="0.2">
      <c r="A30" s="103"/>
      <c r="B30" s="131"/>
      <c r="C30" s="132"/>
      <c r="D30" s="133" t="str">
        <f t="shared" si="11"/>
        <v/>
      </c>
      <c r="E30" s="134"/>
      <c r="F30" s="134"/>
      <c r="G30" s="135"/>
      <c r="H30" s="132"/>
      <c r="I30" s="136"/>
      <c r="J30" s="134"/>
      <c r="K30" s="137"/>
      <c r="L30" s="135"/>
      <c r="M30" s="138"/>
      <c r="N30" s="139"/>
      <c r="O30" s="140"/>
      <c r="P30" s="175"/>
      <c r="Q30" s="142"/>
      <c r="R30" s="183"/>
      <c r="S30" s="183"/>
      <c r="T30" s="199" t="str">
        <f t="shared" si="2"/>
        <v/>
      </c>
      <c r="U30" s="200" t="str">
        <f t="shared" si="3"/>
        <v/>
      </c>
      <c r="V30" s="201" t="str">
        <f t="shared" si="4"/>
        <v/>
      </c>
      <c r="W30" s="417" t="str">
        <f t="shared" si="5"/>
        <v/>
      </c>
      <c r="X30" s="418" t="str">
        <f t="shared" si="6"/>
        <v/>
      </c>
      <c r="Y30" s="202" t="str">
        <f t="shared" si="7"/>
        <v/>
      </c>
      <c r="Z30" s="191"/>
      <c r="AA30" s="203" t="str">
        <f t="shared" si="8"/>
        <v/>
      </c>
      <c r="AB30" s="198" t="str">
        <f t="shared" si="9"/>
        <v/>
      </c>
      <c r="AC30" s="204" t="str">
        <f t="shared" si="10"/>
        <v/>
      </c>
    </row>
    <row r="31" spans="1:29" ht="14.5" thickBot="1" x14ac:dyDescent="0.25">
      <c r="A31" s="103"/>
      <c r="B31" s="131"/>
      <c r="C31" s="132"/>
      <c r="D31" s="145" t="str">
        <f t="shared" si="11"/>
        <v/>
      </c>
      <c r="E31" s="146"/>
      <c r="F31" s="134"/>
      <c r="G31" s="135"/>
      <c r="H31" s="144" t="str">
        <f>IFERROR(IF(G31-$Q$2&lt;=0,"",(G31-$Q$2)*86400),"")</f>
        <v/>
      </c>
      <c r="I31" s="158" t="str">
        <f>IF($I$6="Ⅰ",W31,IF($I$6="Ⅱ",X31,IF($I$6="Ⅲ",Y31,"")))</f>
        <v/>
      </c>
      <c r="J31" s="146"/>
      <c r="K31" s="160" t="str">
        <f>IFERROR(H31*(1+0.01*J31)-I31*$N$3,"")</f>
        <v/>
      </c>
      <c r="L31" s="147" t="str">
        <f>IFERROR((K31-$K$7)/86400,"")</f>
        <v/>
      </c>
      <c r="M31" s="161" t="str">
        <f>IFERROR((K31-$K$7)/$N$3,"")</f>
        <v/>
      </c>
      <c r="N31" s="162" t="str">
        <f>IFERROR($N$3/(H31/3600),"")</f>
        <v/>
      </c>
      <c r="O31" s="163" t="str">
        <f>IF($O$6="MAX=20",AA31,IF($O$6="MAX=30",AB31,IF($O$6="MAX=40",AC31,"")))</f>
        <v/>
      </c>
      <c r="P31" s="176"/>
      <c r="Q31" s="157"/>
      <c r="R31" s="183"/>
      <c r="S31" s="183"/>
      <c r="T31" s="205" t="str">
        <f t="shared" si="2"/>
        <v/>
      </c>
      <c r="U31" s="206" t="str">
        <f t="shared" si="3"/>
        <v/>
      </c>
      <c r="V31" s="207" t="str">
        <f t="shared" si="4"/>
        <v/>
      </c>
      <c r="W31" s="419" t="str">
        <f t="shared" si="5"/>
        <v/>
      </c>
      <c r="X31" s="420" t="str">
        <f t="shared" si="6"/>
        <v/>
      </c>
      <c r="Y31" s="421" t="str">
        <f t="shared" si="7"/>
        <v/>
      </c>
      <c r="Z31" s="191"/>
      <c r="AA31" s="211" t="str">
        <f t="shared" si="8"/>
        <v/>
      </c>
      <c r="AB31" s="212" t="str">
        <f t="shared" si="9"/>
        <v/>
      </c>
      <c r="AC31" s="213" t="str">
        <f t="shared" si="10"/>
        <v/>
      </c>
    </row>
    <row r="32" spans="1:29" ht="15" customHeight="1" x14ac:dyDescent="0.25">
      <c r="A32" s="103"/>
      <c r="B32" s="580" t="s">
        <v>203</v>
      </c>
      <c r="C32" s="581"/>
      <c r="D32" s="582"/>
      <c r="E32" s="180" t="s">
        <v>159</v>
      </c>
      <c r="F32" s="589" t="s">
        <v>310</v>
      </c>
      <c r="G32" s="590"/>
      <c r="H32" s="591" t="s">
        <v>332</v>
      </c>
      <c r="I32" s="592"/>
      <c r="J32" s="592"/>
      <c r="K32" s="592"/>
      <c r="L32" s="592"/>
      <c r="M32" s="592"/>
      <c r="N32" s="592"/>
      <c r="O32" s="592"/>
      <c r="P32" s="592"/>
      <c r="Q32" s="593"/>
      <c r="R32" s="325"/>
      <c r="S32" s="94"/>
      <c r="T32" s="186"/>
      <c r="U32" s="186"/>
      <c r="V32" s="186"/>
      <c r="Y32" s="186"/>
      <c r="Z32" s="186"/>
    </row>
    <row r="33" spans="1:26" ht="15" customHeight="1" x14ac:dyDescent="0.25">
      <c r="A33" s="103"/>
      <c r="B33" s="583"/>
      <c r="C33" s="584"/>
      <c r="D33" s="585"/>
      <c r="E33" s="181" t="s">
        <v>160</v>
      </c>
      <c r="F33" s="600" t="s">
        <v>311</v>
      </c>
      <c r="G33" s="601"/>
      <c r="H33" s="594"/>
      <c r="I33" s="595"/>
      <c r="J33" s="595"/>
      <c r="K33" s="595"/>
      <c r="L33" s="595"/>
      <c r="M33" s="595"/>
      <c r="N33" s="595"/>
      <c r="O33" s="595"/>
      <c r="P33" s="595"/>
      <c r="Q33" s="596"/>
      <c r="R33" s="325"/>
      <c r="S33" s="94"/>
      <c r="T33" s="186"/>
      <c r="U33" s="186"/>
      <c r="V33" s="186"/>
      <c r="Y33" s="186"/>
      <c r="Z33" s="186"/>
    </row>
    <row r="34" spans="1:26" ht="23.25" customHeight="1" x14ac:dyDescent="0.25">
      <c r="A34" s="103"/>
      <c r="B34" s="586"/>
      <c r="C34" s="587"/>
      <c r="D34" s="588"/>
      <c r="E34" s="181" t="s">
        <v>161</v>
      </c>
      <c r="F34" s="600"/>
      <c r="G34" s="601"/>
      <c r="H34" s="594"/>
      <c r="I34" s="595"/>
      <c r="J34" s="595"/>
      <c r="K34" s="595"/>
      <c r="L34" s="595"/>
      <c r="M34" s="595"/>
      <c r="N34" s="595"/>
      <c r="O34" s="595"/>
      <c r="P34" s="595"/>
      <c r="Q34" s="596"/>
      <c r="R34" s="325"/>
      <c r="S34" s="94"/>
      <c r="T34" s="186"/>
      <c r="U34" s="186"/>
      <c r="V34" s="186"/>
      <c r="Y34" s="186"/>
      <c r="Z34" s="186"/>
    </row>
    <row r="35" spans="1:26" ht="22.5" customHeight="1" x14ac:dyDescent="0.25">
      <c r="A35" s="103"/>
      <c r="B35" s="602" t="s">
        <v>204</v>
      </c>
      <c r="C35" s="603"/>
      <c r="D35" s="604"/>
      <c r="E35" s="574" t="s">
        <v>163</v>
      </c>
      <c r="F35" s="600" t="str">
        <f>参照ﾃﾞｰﾀ!AB11</f>
        <v>はやとり</v>
      </c>
      <c r="G35" s="601"/>
      <c r="H35" s="594"/>
      <c r="I35" s="595"/>
      <c r="J35" s="595"/>
      <c r="K35" s="595"/>
      <c r="L35" s="595"/>
      <c r="M35" s="595"/>
      <c r="N35" s="595"/>
      <c r="O35" s="595"/>
      <c r="P35" s="595"/>
      <c r="Q35" s="596"/>
      <c r="R35" s="325"/>
      <c r="S35" s="94"/>
      <c r="T35" s="186"/>
      <c r="U35" s="186"/>
      <c r="V35" s="186"/>
      <c r="Y35" s="186"/>
      <c r="Z35" s="186"/>
    </row>
    <row r="36" spans="1:26" ht="15" customHeight="1" x14ac:dyDescent="0.25">
      <c r="A36" s="103"/>
      <c r="B36" s="605"/>
      <c r="C36" s="606"/>
      <c r="D36" s="607"/>
      <c r="E36" s="613"/>
      <c r="F36" s="600"/>
      <c r="G36" s="601"/>
      <c r="H36" s="594"/>
      <c r="I36" s="595"/>
      <c r="J36" s="595"/>
      <c r="K36" s="595"/>
      <c r="L36" s="595"/>
      <c r="M36" s="595"/>
      <c r="N36" s="595"/>
      <c r="O36" s="595"/>
      <c r="P36" s="595"/>
      <c r="Q36" s="596"/>
      <c r="R36" s="325"/>
      <c r="S36" s="94"/>
      <c r="T36" s="186"/>
      <c r="U36" s="186"/>
      <c r="V36" s="186"/>
      <c r="Y36" s="186"/>
      <c r="Z36" s="186"/>
    </row>
    <row r="37" spans="1:26" ht="15" customHeight="1" x14ac:dyDescent="0.25">
      <c r="A37" s="103"/>
      <c r="B37" s="605"/>
      <c r="C37" s="606"/>
      <c r="D37" s="607"/>
      <c r="E37" s="180" t="s">
        <v>162</v>
      </c>
      <c r="F37" s="614">
        <v>45921</v>
      </c>
      <c r="G37" s="590"/>
      <c r="H37" s="594"/>
      <c r="I37" s="595"/>
      <c r="J37" s="595"/>
      <c r="K37" s="595"/>
      <c r="L37" s="595"/>
      <c r="M37" s="595"/>
      <c r="N37" s="595"/>
      <c r="O37" s="595"/>
      <c r="P37" s="595"/>
      <c r="Q37" s="596"/>
      <c r="R37" s="325"/>
      <c r="S37" s="94"/>
      <c r="T37" s="186"/>
      <c r="U37" s="186"/>
      <c r="V37" s="186"/>
      <c r="Y37" s="186"/>
      <c r="Z37" s="186"/>
    </row>
    <row r="38" spans="1:26" ht="15" customHeight="1" x14ac:dyDescent="0.25">
      <c r="A38" s="103"/>
      <c r="B38" s="605"/>
      <c r="C38" s="606"/>
      <c r="D38" s="607"/>
      <c r="E38" s="181" t="s">
        <v>175</v>
      </c>
      <c r="F38" s="600" t="s">
        <v>296</v>
      </c>
      <c r="G38" s="601"/>
      <c r="H38" s="594"/>
      <c r="I38" s="595"/>
      <c r="J38" s="595"/>
      <c r="K38" s="595"/>
      <c r="L38" s="595"/>
      <c r="M38" s="595"/>
      <c r="N38" s="595"/>
      <c r="O38" s="595"/>
      <c r="P38" s="595"/>
      <c r="Q38" s="596"/>
      <c r="R38" s="325"/>
      <c r="S38" s="94"/>
      <c r="T38" s="186"/>
      <c r="U38" s="186"/>
      <c r="V38" s="186"/>
      <c r="Y38" s="186"/>
      <c r="Z38" s="186"/>
    </row>
    <row r="39" spans="1:26" ht="15" customHeight="1" x14ac:dyDescent="0.25">
      <c r="A39" s="103"/>
      <c r="B39" s="605"/>
      <c r="C39" s="606"/>
      <c r="D39" s="607"/>
      <c r="E39" s="574" t="s">
        <v>163</v>
      </c>
      <c r="F39" s="600" t="str">
        <f>参照ﾃﾞｰﾀ!AB13</f>
        <v>ネプチューンXII</v>
      </c>
      <c r="G39" s="601"/>
      <c r="H39" s="594"/>
      <c r="I39" s="595"/>
      <c r="J39" s="595"/>
      <c r="K39" s="595"/>
      <c r="L39" s="595"/>
      <c r="M39" s="595"/>
      <c r="N39" s="595"/>
      <c r="O39" s="595"/>
      <c r="P39" s="595"/>
      <c r="Q39" s="596"/>
      <c r="R39" s="325"/>
      <c r="S39" s="94"/>
      <c r="T39" s="186"/>
      <c r="U39" s="186"/>
      <c r="V39" s="186"/>
      <c r="Y39" s="186"/>
      <c r="Z39" s="186"/>
    </row>
    <row r="40" spans="1:26" ht="15" customHeight="1" x14ac:dyDescent="0.25">
      <c r="A40" s="103"/>
      <c r="B40" s="605"/>
      <c r="C40" s="606"/>
      <c r="D40" s="607"/>
      <c r="E40" s="574"/>
      <c r="F40" s="600"/>
      <c r="G40" s="601"/>
      <c r="H40" s="594"/>
      <c r="I40" s="595"/>
      <c r="J40" s="595"/>
      <c r="K40" s="595"/>
      <c r="L40" s="595"/>
      <c r="M40" s="595"/>
      <c r="N40" s="595"/>
      <c r="O40" s="595"/>
      <c r="P40" s="595"/>
      <c r="Q40" s="596"/>
      <c r="R40" s="325"/>
      <c r="S40" s="94"/>
      <c r="T40" s="186"/>
      <c r="U40" s="186"/>
      <c r="V40" s="186"/>
      <c r="Y40" s="186"/>
      <c r="Z40" s="186"/>
    </row>
    <row r="41" spans="1:26" ht="11.25" customHeight="1" thickBot="1" x14ac:dyDescent="0.3">
      <c r="A41" s="103"/>
      <c r="B41" s="608"/>
      <c r="C41" s="609"/>
      <c r="D41" s="610"/>
      <c r="E41" s="182"/>
      <c r="F41" s="611"/>
      <c r="G41" s="612"/>
      <c r="H41" s="597"/>
      <c r="I41" s="598"/>
      <c r="J41" s="598"/>
      <c r="K41" s="598"/>
      <c r="L41" s="598"/>
      <c r="M41" s="598"/>
      <c r="N41" s="598"/>
      <c r="O41" s="598"/>
      <c r="P41" s="598"/>
      <c r="Q41" s="599"/>
      <c r="R41" s="325"/>
      <c r="S41" s="94"/>
      <c r="T41" s="186"/>
      <c r="U41" s="186"/>
      <c r="V41" s="186"/>
      <c r="W41" s="186"/>
      <c r="X41" s="186"/>
      <c r="Y41" s="186"/>
      <c r="Z41" s="186"/>
    </row>
    <row r="42" spans="1:26" x14ac:dyDescent="0.2">
      <c r="A42" s="103"/>
      <c r="B42" s="103"/>
      <c r="C42" s="103"/>
      <c r="D42" s="103"/>
      <c r="E42" s="103"/>
      <c r="F42" s="103"/>
      <c r="G42" s="103"/>
      <c r="H42" s="103"/>
      <c r="I42" s="103"/>
      <c r="J42" s="103"/>
      <c r="K42" s="103"/>
      <c r="L42" s="103"/>
      <c r="M42" s="103"/>
      <c r="N42" s="103"/>
      <c r="O42" s="103"/>
      <c r="P42" s="103"/>
      <c r="Q42" s="103"/>
      <c r="R42" s="103"/>
      <c r="S42" s="103"/>
    </row>
  </sheetData>
  <sheetProtection algorithmName="SHA-512" hashValue="6lH2igMsMHSy+U31mBACpAgbof6Gx29j4tkLr8JkMH0qXlUjW7e25rtRZJkLe/Bh8zGvBCYsMdcTppYW1Txirw==" saltValue="B4gpSk58qgsnOjYDkFufYw==" spinCount="100000" sheet="1" objects="1" scenarios="1"/>
  <sortState xmlns:xlrd2="http://schemas.microsoft.com/office/spreadsheetml/2017/richdata2" ref="C7:N18">
    <sortCondition ref="K7:K18"/>
  </sortState>
  <mergeCells count="19">
    <mergeCell ref="F38:G38"/>
    <mergeCell ref="E39:E40"/>
    <mergeCell ref="F39:G39"/>
    <mergeCell ref="F40:G40"/>
    <mergeCell ref="D2:F2"/>
    <mergeCell ref="E3:I3"/>
    <mergeCell ref="J3:K3"/>
    <mergeCell ref="P5:Q5"/>
    <mergeCell ref="B32:D34"/>
    <mergeCell ref="F32:G32"/>
    <mergeCell ref="H32:Q41"/>
    <mergeCell ref="F33:G33"/>
    <mergeCell ref="F34:G34"/>
    <mergeCell ref="B35:D41"/>
    <mergeCell ref="F41:G41"/>
    <mergeCell ref="E35:E36"/>
    <mergeCell ref="F35:G35"/>
    <mergeCell ref="F36:G36"/>
    <mergeCell ref="F37:G37"/>
  </mergeCells>
  <phoneticPr fontId="71"/>
  <dataValidations count="8">
    <dataValidation type="list" allowBlank="1" showInputMessage="1" showErrorMessage="1" sqref="P2 F37:G37" xr:uid="{00000000-0002-0000-0100-000000000000}">
      <formula1>開催日</formula1>
    </dataValidation>
    <dataValidation type="list" allowBlank="1" showInputMessage="1" showErrorMessage="1" sqref="Q2:R2" xr:uid="{00000000-0002-0000-0100-000001000000}">
      <formula1>時刻</formula1>
    </dataValidation>
    <dataValidation type="list" allowBlank="1" showInputMessage="1" showErrorMessage="1" sqref="J3:K3" xr:uid="{00000000-0002-0000-0100-000002000000}">
      <formula1>暫定</formula1>
    </dataValidation>
    <dataValidation type="list" allowBlank="1" showInputMessage="1" showErrorMessage="1" sqref="G2" xr:uid="{00000000-0002-0000-0100-000003000000}">
      <formula1>月</formula1>
    </dataValidation>
    <dataValidation type="list" allowBlank="1" showInputMessage="1" showErrorMessage="1" sqref="N2 F38:G38" xr:uid="{00000000-0002-0000-0100-000004000000}">
      <formula1>コース</formula1>
    </dataValidation>
    <dataValidation type="list" showInputMessage="1" showErrorMessage="1" sqref="E3" xr:uid="{00000000-0002-0000-0100-000005000000}">
      <formula1>レース名</formula1>
    </dataValidation>
    <dataValidation type="list" allowBlank="1" showInputMessage="1" showErrorMessage="1" sqref="I6" xr:uid="{00000000-0002-0000-0100-000006000000}">
      <formula1>ＴＡ</formula1>
    </dataValidation>
    <dataValidation type="list" allowBlank="1" showInputMessage="1" showErrorMessage="1" sqref="D3" xr:uid="{00000000-0002-0000-0100-000007000000}">
      <formula1>レース番号</formula1>
    </dataValidation>
  </dataValidations>
  <pageMargins left="0.31496062992125984" right="0" top="0.35433070866141736" bottom="0.19685039370078741" header="0" footer="0"/>
  <pageSetup paperSize="9" scale="99"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C42"/>
  <sheetViews>
    <sheetView zoomScale="85" zoomScaleNormal="85" workbookViewId="0">
      <selection activeCell="M28" sqref="M28"/>
    </sheetView>
  </sheetViews>
  <sheetFormatPr defaultColWidth="9" defaultRowHeight="13" x14ac:dyDescent="0.2"/>
  <cols>
    <col min="1" max="1" width="1.7265625" style="185" customWidth="1"/>
    <col min="2" max="2" width="5" style="185" customWidth="1"/>
    <col min="3" max="3" width="7" style="185" customWidth="1"/>
    <col min="4" max="4" width="18" style="185" customWidth="1"/>
    <col min="5" max="5" width="8" style="185" hidden="1" customWidth="1"/>
    <col min="6" max="6" width="5.6328125" style="185" customWidth="1"/>
    <col min="7" max="7" width="10.90625" style="185" customWidth="1"/>
    <col min="8" max="8" width="8.36328125" style="185" customWidth="1"/>
    <col min="9" max="9" width="8.6328125" style="185" customWidth="1"/>
    <col min="10" max="10" width="5" style="185" customWidth="1"/>
    <col min="11" max="11" width="8.453125" style="185" customWidth="1"/>
    <col min="12" max="12" width="10.90625" style="185" customWidth="1"/>
    <col min="13" max="13" width="9.453125" style="185" customWidth="1"/>
    <col min="14" max="14" width="7.90625" style="185" customWidth="1"/>
    <col min="15" max="15" width="8" style="185" customWidth="1"/>
    <col min="16" max="16" width="12" style="185" bestFit="1" customWidth="1"/>
    <col min="17" max="17" width="11.6328125" style="185" customWidth="1"/>
    <col min="18" max="18" width="1.6328125" style="185" customWidth="1"/>
    <col min="19" max="19" width="4.90625" style="185" customWidth="1"/>
    <col min="20" max="22" width="7.6328125" style="185" hidden="1" customWidth="1"/>
    <col min="23" max="23" width="8.26953125" style="185" customWidth="1"/>
    <col min="24" max="25" width="7.6328125" style="185" customWidth="1"/>
    <col min="26" max="26" width="4.453125" style="185" customWidth="1"/>
    <col min="27" max="29" width="8" style="185" customWidth="1"/>
    <col min="30" max="16384" width="9" style="185"/>
  </cols>
  <sheetData>
    <row r="1" spans="1:29" ht="9.75" customHeight="1" thickBot="1" x14ac:dyDescent="0.25">
      <c r="A1" s="103"/>
      <c r="B1" s="103"/>
      <c r="C1" s="103"/>
      <c r="D1" s="103"/>
      <c r="E1" s="103"/>
      <c r="F1" s="103"/>
      <c r="G1" s="103"/>
      <c r="H1" s="103"/>
      <c r="I1" s="103"/>
      <c r="J1" s="103"/>
      <c r="K1" s="103"/>
      <c r="L1" s="103"/>
      <c r="M1" s="103"/>
      <c r="N1" s="103"/>
      <c r="O1" s="103"/>
      <c r="P1" s="103"/>
      <c r="Q1" s="103"/>
      <c r="R1" s="103"/>
      <c r="S1" s="103"/>
    </row>
    <row r="2" spans="1:29" ht="21" x14ac:dyDescent="0.3">
      <c r="A2" s="103"/>
      <c r="B2" s="94"/>
      <c r="C2" s="95"/>
      <c r="D2" s="575" t="str">
        <f>参照ﾃﾞｰﾀ!F4</f>
        <v>2025年</v>
      </c>
      <c r="E2" s="575"/>
      <c r="F2" s="575"/>
      <c r="G2" s="96" t="s">
        <v>171</v>
      </c>
      <c r="H2" s="97"/>
      <c r="I2" s="98"/>
      <c r="J2" s="94"/>
      <c r="K2" s="99"/>
      <c r="L2" s="94"/>
      <c r="M2" s="100" t="s">
        <v>40</v>
      </c>
      <c r="N2" s="101" t="s">
        <v>62</v>
      </c>
      <c r="O2" s="102" t="s">
        <v>42</v>
      </c>
      <c r="P2" s="230">
        <v>45921</v>
      </c>
      <c r="Q2" s="231">
        <v>0.4375</v>
      </c>
      <c r="R2" s="322"/>
      <c r="S2" s="94"/>
      <c r="T2" s="187" t="s">
        <v>2</v>
      </c>
      <c r="U2" s="186"/>
      <c r="V2" s="186"/>
      <c r="W2" s="187" t="str">
        <f>参照ＴＡ!R3</f>
        <v>2025年</v>
      </c>
      <c r="X2" s="187" t="str">
        <f>参照ＴＡ!T3</f>
        <v>9月</v>
      </c>
      <c r="Y2" s="186"/>
      <c r="Z2" s="186"/>
    </row>
    <row r="3" spans="1:29" ht="21.75" customHeight="1" thickBot="1" x14ac:dyDescent="0.35">
      <c r="A3" s="103"/>
      <c r="B3" s="94"/>
      <c r="C3" s="103"/>
      <c r="D3" s="104" t="s">
        <v>271</v>
      </c>
      <c r="E3" s="615" t="s">
        <v>52</v>
      </c>
      <c r="F3" s="615"/>
      <c r="G3" s="615"/>
      <c r="H3" s="615"/>
      <c r="I3" s="615"/>
      <c r="J3" s="577" t="s">
        <v>72</v>
      </c>
      <c r="K3" s="577"/>
      <c r="L3" s="94"/>
      <c r="M3" s="105" t="s">
        <v>63</v>
      </c>
      <c r="N3" s="106">
        <f>IF(ISBLANK(N2),"",VLOOKUP(N2,コース・距離,2,FALSE))</f>
        <v>11.3</v>
      </c>
      <c r="O3" s="107" t="s">
        <v>0</v>
      </c>
      <c r="P3" s="108">
        <v>13</v>
      </c>
      <c r="Q3" s="109" t="s">
        <v>1</v>
      </c>
      <c r="R3" s="323"/>
      <c r="S3" s="94"/>
      <c r="T3" s="186" t="s">
        <v>193</v>
      </c>
      <c r="U3" s="186"/>
      <c r="V3" s="186"/>
      <c r="W3" s="187" t="s">
        <v>2</v>
      </c>
      <c r="X3" s="186"/>
      <c r="Y3" s="186"/>
      <c r="Z3" s="186"/>
      <c r="AA3" s="188" t="s">
        <v>64</v>
      </c>
    </row>
    <row r="4" spans="1:29" ht="7.5" customHeight="1" thickBot="1" x14ac:dyDescent="0.3">
      <c r="A4" s="103"/>
      <c r="B4" s="94"/>
      <c r="C4" s="94"/>
      <c r="D4" s="94"/>
      <c r="E4" s="94"/>
      <c r="F4" s="94"/>
      <c r="G4" s="94"/>
      <c r="H4" s="94"/>
      <c r="I4" s="94"/>
      <c r="J4" s="94"/>
      <c r="K4" s="94"/>
      <c r="L4" s="94"/>
      <c r="M4" s="94"/>
      <c r="N4" s="94"/>
      <c r="O4" s="94"/>
      <c r="P4" s="94"/>
      <c r="Q4" s="94"/>
      <c r="R4" s="94"/>
      <c r="S4" s="94"/>
      <c r="T4" s="186"/>
      <c r="U4" s="186"/>
      <c r="V4" s="186"/>
      <c r="W4" s="189"/>
      <c r="X4" s="186"/>
      <c r="Y4" s="186"/>
      <c r="Z4" s="186"/>
    </row>
    <row r="5" spans="1:29" ht="14" x14ac:dyDescent="0.2">
      <c r="A5" s="103"/>
      <c r="B5" s="110" t="s">
        <v>3</v>
      </c>
      <c r="C5" s="111" t="s">
        <v>4</v>
      </c>
      <c r="D5" s="111" t="s">
        <v>5</v>
      </c>
      <c r="E5" s="111" t="s">
        <v>6</v>
      </c>
      <c r="F5" s="111" t="s">
        <v>7</v>
      </c>
      <c r="G5" s="111" t="s">
        <v>8</v>
      </c>
      <c r="H5" s="111" t="s">
        <v>9</v>
      </c>
      <c r="I5" s="111" t="s">
        <v>10</v>
      </c>
      <c r="J5" s="111" t="s">
        <v>11</v>
      </c>
      <c r="K5" s="111" t="s">
        <v>12</v>
      </c>
      <c r="L5" s="112" t="s">
        <v>205</v>
      </c>
      <c r="M5" s="112" t="s">
        <v>202</v>
      </c>
      <c r="N5" s="111" t="s">
        <v>59</v>
      </c>
      <c r="O5" s="111" t="s">
        <v>13</v>
      </c>
      <c r="P5" s="578" t="s">
        <v>58</v>
      </c>
      <c r="Q5" s="579"/>
      <c r="R5" s="324"/>
      <c r="S5" s="183"/>
      <c r="T5" s="192" t="s">
        <v>10</v>
      </c>
      <c r="U5" s="190" t="s">
        <v>10</v>
      </c>
      <c r="V5" s="193" t="s">
        <v>10</v>
      </c>
      <c r="W5" s="192" t="s">
        <v>10</v>
      </c>
      <c r="X5" s="190" t="s">
        <v>10</v>
      </c>
      <c r="Y5" s="193" t="s">
        <v>10</v>
      </c>
      <c r="Z5" s="191"/>
      <c r="AA5" s="192" t="s">
        <v>13</v>
      </c>
      <c r="AB5" s="190" t="s">
        <v>13</v>
      </c>
      <c r="AC5" s="193" t="s">
        <v>13</v>
      </c>
    </row>
    <row r="6" spans="1:29" ht="14" x14ac:dyDescent="0.2">
      <c r="A6" s="103"/>
      <c r="B6" s="113"/>
      <c r="C6" s="114" t="s">
        <v>14</v>
      </c>
      <c r="D6" s="115"/>
      <c r="E6" s="116" t="s">
        <v>15</v>
      </c>
      <c r="F6" s="116"/>
      <c r="G6" s="114" t="s">
        <v>16</v>
      </c>
      <c r="H6" s="116" t="s">
        <v>17</v>
      </c>
      <c r="I6" s="114" t="s">
        <v>191</v>
      </c>
      <c r="J6" s="116" t="s">
        <v>18</v>
      </c>
      <c r="K6" s="116" t="s">
        <v>17</v>
      </c>
      <c r="L6" s="114" t="s">
        <v>16</v>
      </c>
      <c r="M6" s="116" t="s">
        <v>34</v>
      </c>
      <c r="N6" s="116" t="s">
        <v>19</v>
      </c>
      <c r="O6" s="117" t="str">
        <f>"MAX=20"</f>
        <v>MAX=20</v>
      </c>
      <c r="P6" s="118"/>
      <c r="Q6" s="119"/>
      <c r="R6" s="183"/>
      <c r="S6" s="184"/>
      <c r="T6" s="196" t="s">
        <v>20</v>
      </c>
      <c r="U6" s="194" t="s">
        <v>22</v>
      </c>
      <c r="V6" s="197" t="s">
        <v>21</v>
      </c>
      <c r="W6" s="196" t="s">
        <v>20</v>
      </c>
      <c r="X6" s="194" t="s">
        <v>22</v>
      </c>
      <c r="Y6" s="197" t="s">
        <v>21</v>
      </c>
      <c r="Z6" s="195"/>
      <c r="AA6" s="196" t="s">
        <v>66</v>
      </c>
      <c r="AB6" s="194" t="s">
        <v>67</v>
      </c>
      <c r="AC6" s="197" t="s">
        <v>68</v>
      </c>
    </row>
    <row r="7" spans="1:29" ht="14" x14ac:dyDescent="0.2">
      <c r="A7" s="103"/>
      <c r="B7" s="120">
        <v>1</v>
      </c>
      <c r="C7" s="121">
        <v>7177</v>
      </c>
      <c r="D7" s="122" t="str">
        <f t="shared" ref="D7:D18" si="0">IF(ISBLANK(C7),"",VLOOKUP(C7,第3月ＴＡ,2,FALSE))</f>
        <v>Miss Emica</v>
      </c>
      <c r="E7" s="215" t="e">
        <f t="shared" ref="E7:E18" si="1">IF($I$6="Ⅰ",T7,IF($I$6="Ⅱ",U7,IF($I$6="Ⅲ",V7,"")))</f>
        <v>#REF!</v>
      </c>
      <c r="F7" s="123">
        <v>2</v>
      </c>
      <c r="G7" s="124">
        <v>0.59163194444444445</v>
      </c>
      <c r="H7" s="121">
        <v>13317</v>
      </c>
      <c r="I7" s="125">
        <v>608.85</v>
      </c>
      <c r="J7" s="123"/>
      <c r="K7" s="126">
        <v>6436.994999999999</v>
      </c>
      <c r="L7" s="124">
        <v>0</v>
      </c>
      <c r="M7" s="127">
        <v>0</v>
      </c>
      <c r="N7" s="128">
        <v>3.0547420590223027</v>
      </c>
      <c r="O7" s="129">
        <v>20</v>
      </c>
      <c r="P7" s="220"/>
      <c r="Q7" s="130"/>
      <c r="R7" s="183"/>
      <c r="S7" s="183"/>
      <c r="T7" s="199" t="e">
        <f t="shared" ref="T7:T31" si="2">IF(ISBLANK(C7),"",VLOOKUP(C7,各艇データ,3,FALSE))</f>
        <v>#REF!</v>
      </c>
      <c r="U7" s="200" t="e">
        <f t="shared" ref="U7:U31" si="3">IF(ISBLANK(C7),"",VLOOKUP(C7,各艇データ,4,FALSE))</f>
        <v>#REF!</v>
      </c>
      <c r="V7" s="201" t="e">
        <f t="shared" ref="V7:V31" si="4">IF(ISBLANK(C7),"",VLOOKUP(C7,各艇データ,5,FALSE))</f>
        <v>#REF!</v>
      </c>
      <c r="W7" s="417">
        <f t="shared" ref="W7:W31" si="5">IF(ISBLANK(C7),"",VLOOKUP(C7,第3月ＴＡ,3,FALSE))</f>
        <v>932.45</v>
      </c>
      <c r="X7" s="418">
        <f t="shared" ref="X7:X31" si="6">IF(ISBLANK(C7),"",VLOOKUP(C7,第3月ＴＡ,4,FALSE))</f>
        <v>608.85</v>
      </c>
      <c r="Y7" s="202">
        <f t="shared" ref="Y7:Y31" si="7">IF(ISBLANK(C7),"",VLOOKUP(C7,第3月ＴＡ,5,FALSE))</f>
        <v>550.20000000000005</v>
      </c>
      <c r="Z7" s="191"/>
      <c r="AA7" s="203">
        <f>IF(ISBLANK(B7),"",IFERROR(20*($P$3+1-$B7)/$P$3,"20.0"))</f>
        <v>20</v>
      </c>
      <c r="AB7" s="198">
        <f>IF(ISBLANK(B7),"",IFERROR(30*($P$3+1-$B7)/$P$3,"30.0"))</f>
        <v>30</v>
      </c>
      <c r="AC7" s="204">
        <f>IF(ISBLANK(B7),"",IFERROR(30*($P$3-$B7)/($P$3-1)+10,"20.0"))</f>
        <v>40</v>
      </c>
    </row>
    <row r="8" spans="1:29" ht="14" x14ac:dyDescent="0.2">
      <c r="A8" s="103"/>
      <c r="B8" s="131">
        <v>2</v>
      </c>
      <c r="C8" s="132">
        <v>321</v>
      </c>
      <c r="D8" s="133" t="str">
        <f t="shared" si="0"/>
        <v>かまくら</v>
      </c>
      <c r="E8" s="216" t="e">
        <f t="shared" si="1"/>
        <v>#REF!</v>
      </c>
      <c r="F8" s="134">
        <v>1</v>
      </c>
      <c r="G8" s="135">
        <v>0.5883680555555556</v>
      </c>
      <c r="H8" s="132">
        <v>13035.000000000004</v>
      </c>
      <c r="I8" s="136">
        <v>566.375</v>
      </c>
      <c r="J8" s="134"/>
      <c r="K8" s="137">
        <v>6634.9625000000033</v>
      </c>
      <c r="L8" s="135">
        <v>2.2912905092593088E-3</v>
      </c>
      <c r="M8" s="138">
        <v>17.519247787610997</v>
      </c>
      <c r="N8" s="139">
        <v>3.1208285385500569</v>
      </c>
      <c r="O8" s="140">
        <v>18.5</v>
      </c>
      <c r="P8" s="141"/>
      <c r="Q8" s="142"/>
      <c r="R8" s="183"/>
      <c r="S8" s="183"/>
      <c r="T8" s="199" t="e">
        <f t="shared" si="2"/>
        <v>#REF!</v>
      </c>
      <c r="U8" s="200" t="e">
        <f t="shared" si="3"/>
        <v>#REF!</v>
      </c>
      <c r="V8" s="201" t="e">
        <f t="shared" si="4"/>
        <v>#REF!</v>
      </c>
      <c r="W8" s="417">
        <f t="shared" si="5"/>
        <v>845.65</v>
      </c>
      <c r="X8" s="418">
        <f t="shared" si="6"/>
        <v>566.375</v>
      </c>
      <c r="Y8" s="202">
        <f t="shared" si="7"/>
        <v>508.7</v>
      </c>
      <c r="Z8" s="191"/>
      <c r="AA8" s="203">
        <f t="shared" ref="AA8:AA31" si="8">IF(ISBLANK(B8),"",IFERROR(20*($P$3+1-$B8)/$P$3,"20.0"))</f>
        <v>18.46153846153846</v>
      </c>
      <c r="AB8" s="198">
        <f t="shared" ref="AB8:AB31" si="9">IF(ISBLANK(B8),"",IFERROR(30*($P$3+1-$B8)/$P$3,"30.0"))</f>
        <v>27.692307692307693</v>
      </c>
      <c r="AC8" s="204">
        <f t="shared" ref="AC8:AC31" si="10">IF(ISBLANK(B8),"",IFERROR(30*($P$3-$B8)/($P$3-1)+10,"20.0"))</f>
        <v>37.5</v>
      </c>
    </row>
    <row r="9" spans="1:29" ht="14" x14ac:dyDescent="0.2">
      <c r="A9" s="103"/>
      <c r="B9" s="131">
        <v>3</v>
      </c>
      <c r="C9" s="132">
        <v>4071</v>
      </c>
      <c r="D9" s="133" t="str">
        <f t="shared" si="0"/>
        <v>胡桃</v>
      </c>
      <c r="E9" s="216" t="e">
        <f t="shared" si="1"/>
        <v>#REF!</v>
      </c>
      <c r="F9" s="134">
        <v>3</v>
      </c>
      <c r="G9" s="135">
        <v>0.59417824074074077</v>
      </c>
      <c r="H9" s="132">
        <v>13537.000000000002</v>
      </c>
      <c r="I9" s="136">
        <v>588.32500000000005</v>
      </c>
      <c r="J9" s="134"/>
      <c r="K9" s="137">
        <v>6888.9275000000007</v>
      </c>
      <c r="L9" s="135">
        <v>5.2307002314815011E-3</v>
      </c>
      <c r="M9" s="138">
        <v>39.994026548672714</v>
      </c>
      <c r="N9" s="139">
        <v>3.0050971411686485</v>
      </c>
      <c r="O9" s="140">
        <v>16.899999999999999</v>
      </c>
      <c r="P9" s="141"/>
      <c r="Q9" s="142"/>
      <c r="R9" s="183"/>
      <c r="S9" s="183"/>
      <c r="T9" s="199" t="e">
        <f t="shared" si="2"/>
        <v>#REF!</v>
      </c>
      <c r="U9" s="200" t="e">
        <f t="shared" si="3"/>
        <v>#REF!</v>
      </c>
      <c r="V9" s="201" t="e">
        <f t="shared" si="4"/>
        <v>#REF!</v>
      </c>
      <c r="W9" s="417">
        <f t="shared" si="5"/>
        <v>917.35</v>
      </c>
      <c r="X9" s="418">
        <f t="shared" si="6"/>
        <v>588.32500000000005</v>
      </c>
      <c r="Y9" s="202">
        <f t="shared" si="7"/>
        <v>529.04999999999995</v>
      </c>
      <c r="Z9" s="191"/>
      <c r="AA9" s="203">
        <f t="shared" si="8"/>
        <v>16.923076923076923</v>
      </c>
      <c r="AB9" s="198">
        <f t="shared" si="9"/>
        <v>25.384615384615383</v>
      </c>
      <c r="AC9" s="204">
        <f t="shared" si="10"/>
        <v>35</v>
      </c>
    </row>
    <row r="10" spans="1:29" ht="14" x14ac:dyDescent="0.2">
      <c r="A10" s="103"/>
      <c r="B10" s="131">
        <v>4</v>
      </c>
      <c r="C10" s="132">
        <v>5797</v>
      </c>
      <c r="D10" s="133" t="str">
        <f t="shared" si="0"/>
        <v>Zipang</v>
      </c>
      <c r="E10" s="216" t="e">
        <f t="shared" si="1"/>
        <v>#REF!</v>
      </c>
      <c r="F10" s="134">
        <v>5</v>
      </c>
      <c r="G10" s="135">
        <v>0.59966435185185185</v>
      </c>
      <c r="H10" s="132">
        <v>14011</v>
      </c>
      <c r="I10" s="136">
        <v>554.01324999999997</v>
      </c>
      <c r="J10" s="134"/>
      <c r="K10" s="137">
        <v>7750.650275</v>
      </c>
      <c r="L10" s="135">
        <v>1.5204343460648159E-2</v>
      </c>
      <c r="M10" s="138">
        <v>116.2526792035399</v>
      </c>
      <c r="N10" s="139">
        <v>2.9034330169152809</v>
      </c>
      <c r="O10" s="140">
        <v>15.4</v>
      </c>
      <c r="P10" s="208"/>
      <c r="Q10" s="142"/>
      <c r="R10" s="183"/>
      <c r="S10" s="183"/>
      <c r="T10" s="199" t="e">
        <f t="shared" si="2"/>
        <v>#REF!</v>
      </c>
      <c r="U10" s="200" t="e">
        <f t="shared" si="3"/>
        <v>#REF!</v>
      </c>
      <c r="V10" s="201" t="e">
        <f t="shared" si="4"/>
        <v>#REF!</v>
      </c>
      <c r="W10" s="417">
        <f t="shared" si="5"/>
        <v>817.07500000000005</v>
      </c>
      <c r="X10" s="418">
        <f t="shared" si="6"/>
        <v>554.01324999999997</v>
      </c>
      <c r="Y10" s="202">
        <f t="shared" si="7"/>
        <v>499.40550000000002</v>
      </c>
      <c r="Z10" s="191"/>
      <c r="AA10" s="203">
        <f t="shared" si="8"/>
        <v>15.384615384615385</v>
      </c>
      <c r="AB10" s="198">
        <f t="shared" si="9"/>
        <v>23.076923076923077</v>
      </c>
      <c r="AC10" s="204">
        <f t="shared" si="10"/>
        <v>32.5</v>
      </c>
    </row>
    <row r="11" spans="1:29" ht="14" x14ac:dyDescent="0.2">
      <c r="A11" s="103"/>
      <c r="B11" s="143">
        <v>5</v>
      </c>
      <c r="C11" s="144">
        <v>6269</v>
      </c>
      <c r="D11" s="145" t="str">
        <f t="shared" si="0"/>
        <v>VITTORIA</v>
      </c>
      <c r="E11" s="217" t="e">
        <f t="shared" si="1"/>
        <v>#REF!</v>
      </c>
      <c r="F11" s="146">
        <v>4</v>
      </c>
      <c r="G11" s="147">
        <v>0.5982291666666667</v>
      </c>
      <c r="H11" s="148">
        <v>13887.000000000004</v>
      </c>
      <c r="I11" s="149">
        <v>542.56262500000003</v>
      </c>
      <c r="J11" s="150"/>
      <c r="K11" s="151">
        <v>7756.0423375000028</v>
      </c>
      <c r="L11" s="152">
        <v>1.5266751591435229E-2</v>
      </c>
      <c r="M11" s="153">
        <v>116.72985287610652</v>
      </c>
      <c r="N11" s="154">
        <v>2.9293583927414124</v>
      </c>
      <c r="O11" s="155">
        <v>13.8</v>
      </c>
      <c r="P11" s="156"/>
      <c r="Q11" s="157"/>
      <c r="R11" s="183"/>
      <c r="S11" s="183"/>
      <c r="T11" s="199" t="e">
        <f t="shared" si="2"/>
        <v>#REF!</v>
      </c>
      <c r="U11" s="200" t="e">
        <f t="shared" si="3"/>
        <v>#REF!</v>
      </c>
      <c r="V11" s="201" t="e">
        <f t="shared" si="4"/>
        <v>#REF!</v>
      </c>
      <c r="W11" s="417">
        <f t="shared" si="5"/>
        <v>798.60199999999998</v>
      </c>
      <c r="X11" s="418">
        <f t="shared" si="6"/>
        <v>542.56262500000003</v>
      </c>
      <c r="Y11" s="202">
        <f t="shared" si="7"/>
        <v>492.52499999999998</v>
      </c>
      <c r="Z11" s="191"/>
      <c r="AA11" s="203">
        <f t="shared" si="8"/>
        <v>13.846153846153847</v>
      </c>
      <c r="AB11" s="198">
        <f t="shared" si="9"/>
        <v>20.76923076923077</v>
      </c>
      <c r="AC11" s="204">
        <f t="shared" si="10"/>
        <v>30</v>
      </c>
    </row>
    <row r="12" spans="1:29" ht="14" x14ac:dyDescent="0.2">
      <c r="A12" s="103"/>
      <c r="B12" s="120">
        <v>6</v>
      </c>
      <c r="C12" s="121">
        <v>150</v>
      </c>
      <c r="D12" s="177" t="str">
        <f t="shared" si="0"/>
        <v>SHARK X</v>
      </c>
      <c r="E12" s="215" t="e">
        <f t="shared" si="1"/>
        <v>#REF!</v>
      </c>
      <c r="F12" s="123">
        <v>7</v>
      </c>
      <c r="G12" s="124">
        <v>0.60271990740740744</v>
      </c>
      <c r="H12" s="121">
        <v>14275.000000000004</v>
      </c>
      <c r="I12" s="125">
        <v>572.35887500000001</v>
      </c>
      <c r="J12" s="123"/>
      <c r="K12" s="126">
        <v>7807.344712500003</v>
      </c>
      <c r="L12" s="124">
        <v>1.5860529079861158E-2</v>
      </c>
      <c r="M12" s="127">
        <v>121.26988606194725</v>
      </c>
      <c r="N12" s="128">
        <v>2.8497373029772324</v>
      </c>
      <c r="O12" s="129">
        <v>12.3</v>
      </c>
      <c r="P12" s="103"/>
      <c r="Q12" s="130"/>
      <c r="R12" s="183"/>
      <c r="S12" s="183"/>
      <c r="T12" s="199" t="e">
        <f t="shared" si="2"/>
        <v>#REF!</v>
      </c>
      <c r="U12" s="200" t="e">
        <f t="shared" si="3"/>
        <v>#REF!</v>
      </c>
      <c r="V12" s="201" t="e">
        <f t="shared" si="4"/>
        <v>#REF!</v>
      </c>
      <c r="W12" s="417">
        <f t="shared" si="5"/>
        <v>845.69100000000003</v>
      </c>
      <c r="X12" s="418">
        <f t="shared" si="6"/>
        <v>572.35887500000001</v>
      </c>
      <c r="Y12" s="202">
        <f t="shared" si="7"/>
        <v>520.98749999999995</v>
      </c>
      <c r="Z12" s="191"/>
      <c r="AA12" s="203">
        <f t="shared" si="8"/>
        <v>12.307692307692308</v>
      </c>
      <c r="AB12" s="198">
        <f t="shared" si="9"/>
        <v>18.46153846153846</v>
      </c>
      <c r="AC12" s="204">
        <f t="shared" si="10"/>
        <v>27.5</v>
      </c>
    </row>
    <row r="13" spans="1:29" ht="14" x14ac:dyDescent="0.2">
      <c r="A13" s="103"/>
      <c r="B13" s="131">
        <v>7</v>
      </c>
      <c r="C13" s="132">
        <v>312</v>
      </c>
      <c r="D13" s="133" t="str">
        <f t="shared" si="0"/>
        <v>はやとり</v>
      </c>
      <c r="E13" s="216" t="e">
        <f t="shared" si="1"/>
        <v>#REF!</v>
      </c>
      <c r="F13" s="353">
        <v>11</v>
      </c>
      <c r="G13" s="135">
        <v>0.60609953703703701</v>
      </c>
      <c r="H13" s="132">
        <v>14566.999999999998</v>
      </c>
      <c r="I13" s="136">
        <v>594.27499999999998</v>
      </c>
      <c r="J13" s="134"/>
      <c r="K13" s="137">
        <v>7851.6924999999983</v>
      </c>
      <c r="L13" s="135">
        <v>1.63738136574074E-2</v>
      </c>
      <c r="M13" s="138">
        <v>125.1944690265486</v>
      </c>
      <c r="N13" s="139">
        <v>2.7926134413400159</v>
      </c>
      <c r="O13" s="140">
        <v>10.8</v>
      </c>
      <c r="P13" s="174"/>
      <c r="Q13" s="142"/>
      <c r="R13" s="183"/>
      <c r="S13" s="183"/>
      <c r="T13" s="199" t="e">
        <f t="shared" si="2"/>
        <v>#REF!</v>
      </c>
      <c r="U13" s="200" t="e">
        <f t="shared" si="3"/>
        <v>#REF!</v>
      </c>
      <c r="V13" s="201" t="e">
        <f t="shared" si="4"/>
        <v>#REF!</v>
      </c>
      <c r="W13" s="417">
        <f t="shared" si="5"/>
        <v>895.25</v>
      </c>
      <c r="X13" s="418">
        <f t="shared" si="6"/>
        <v>594.27499999999998</v>
      </c>
      <c r="Y13" s="202">
        <f t="shared" si="7"/>
        <v>540.29999999999995</v>
      </c>
      <c r="Z13" s="191"/>
      <c r="AA13" s="203">
        <f t="shared" si="8"/>
        <v>10.76923076923077</v>
      </c>
      <c r="AB13" s="198">
        <f t="shared" si="9"/>
        <v>16.153846153846153</v>
      </c>
      <c r="AC13" s="204">
        <f t="shared" si="10"/>
        <v>25</v>
      </c>
    </row>
    <row r="14" spans="1:29" ht="14" x14ac:dyDescent="0.2">
      <c r="A14" s="103"/>
      <c r="B14" s="131">
        <v>8</v>
      </c>
      <c r="C14" s="132">
        <v>6732</v>
      </c>
      <c r="D14" s="133" t="str">
        <f t="shared" si="0"/>
        <v>アイデアル</v>
      </c>
      <c r="E14" s="216" t="e">
        <f t="shared" si="1"/>
        <v>#REF!</v>
      </c>
      <c r="F14" s="134">
        <v>8</v>
      </c>
      <c r="G14" s="135">
        <v>0.60339120370370369</v>
      </c>
      <c r="H14" s="132">
        <v>14333</v>
      </c>
      <c r="I14" s="136">
        <v>571.993913255998</v>
      </c>
      <c r="J14" s="134"/>
      <c r="K14" s="137">
        <v>7869.4687802072222</v>
      </c>
      <c r="L14" s="135">
        <v>1.6579557641287306E-2</v>
      </c>
      <c r="M14" s="138">
        <v>126.7675911687808</v>
      </c>
      <c r="N14" s="139">
        <v>2.8382055396637131</v>
      </c>
      <c r="O14" s="140">
        <v>9.1999999999999993</v>
      </c>
      <c r="P14" s="141"/>
      <c r="Q14" s="142"/>
      <c r="R14" s="183"/>
      <c r="S14" s="183"/>
      <c r="T14" s="199" t="e">
        <f t="shared" si="2"/>
        <v>#REF!</v>
      </c>
      <c r="U14" s="200" t="e">
        <f t="shared" si="3"/>
        <v>#REF!</v>
      </c>
      <c r="V14" s="201" t="e">
        <f t="shared" si="4"/>
        <v>#REF!</v>
      </c>
      <c r="W14" s="417">
        <f t="shared" si="5"/>
        <v>855.39381721722395</v>
      </c>
      <c r="X14" s="418">
        <f t="shared" si="6"/>
        <v>571.993913255998</v>
      </c>
      <c r="Y14" s="202">
        <f t="shared" si="7"/>
        <v>520.62384764970795</v>
      </c>
      <c r="Z14" s="191"/>
      <c r="AA14" s="203">
        <f t="shared" si="8"/>
        <v>9.2307692307692299</v>
      </c>
      <c r="AB14" s="198">
        <f t="shared" si="9"/>
        <v>13.846153846153847</v>
      </c>
      <c r="AC14" s="204">
        <f t="shared" si="10"/>
        <v>22.5</v>
      </c>
    </row>
    <row r="15" spans="1:29" ht="14" x14ac:dyDescent="0.2">
      <c r="A15" s="103"/>
      <c r="B15" s="131">
        <v>9</v>
      </c>
      <c r="C15" s="132">
        <v>1733</v>
      </c>
      <c r="D15" s="133" t="str">
        <f t="shared" si="0"/>
        <v>ケロニア</v>
      </c>
      <c r="E15" s="216" t="e">
        <f t="shared" si="1"/>
        <v>#REF!</v>
      </c>
      <c r="F15" s="134">
        <v>6</v>
      </c>
      <c r="G15" s="135">
        <v>0.60192129629629632</v>
      </c>
      <c r="H15" s="132">
        <v>14206.000000000002</v>
      </c>
      <c r="I15" s="136">
        <v>559.9</v>
      </c>
      <c r="J15" s="134"/>
      <c r="K15" s="137">
        <v>7879.1300000000019</v>
      </c>
      <c r="L15" s="135">
        <v>1.6691377314814848E-2</v>
      </c>
      <c r="M15" s="138">
        <v>127.62256637168167</v>
      </c>
      <c r="N15" s="139">
        <v>2.8635787695339996</v>
      </c>
      <c r="O15" s="140">
        <v>7.7</v>
      </c>
      <c r="P15" s="174"/>
      <c r="Q15" s="142"/>
      <c r="R15" s="183"/>
      <c r="S15" s="183"/>
      <c r="T15" s="199" t="e">
        <f t="shared" si="2"/>
        <v>#REF!</v>
      </c>
      <c r="U15" s="200" t="e">
        <f t="shared" si="3"/>
        <v>#REF!</v>
      </c>
      <c r="V15" s="201" t="e">
        <f t="shared" si="4"/>
        <v>#REF!</v>
      </c>
      <c r="W15" s="417">
        <f t="shared" si="5"/>
        <v>852.05</v>
      </c>
      <c r="X15" s="418">
        <f t="shared" si="6"/>
        <v>559.9</v>
      </c>
      <c r="Y15" s="202">
        <f t="shared" si="7"/>
        <v>501.85</v>
      </c>
      <c r="Z15" s="191"/>
      <c r="AA15" s="203">
        <f t="shared" si="8"/>
        <v>7.6923076923076925</v>
      </c>
      <c r="AB15" s="198">
        <f t="shared" si="9"/>
        <v>11.538461538461538</v>
      </c>
      <c r="AC15" s="204">
        <f t="shared" si="10"/>
        <v>20</v>
      </c>
    </row>
    <row r="16" spans="1:29" ht="14" x14ac:dyDescent="0.2">
      <c r="A16" s="103"/>
      <c r="B16" s="143">
        <v>10</v>
      </c>
      <c r="C16" s="144">
        <v>2759</v>
      </c>
      <c r="D16" s="145" t="str">
        <f t="shared" si="0"/>
        <v>IXORA Ⅳ</v>
      </c>
      <c r="E16" s="217" t="e">
        <f t="shared" si="1"/>
        <v>#REF!</v>
      </c>
      <c r="F16" s="146">
        <v>10</v>
      </c>
      <c r="G16" s="147">
        <v>0.60560185185185189</v>
      </c>
      <c r="H16" s="148">
        <v>14524.000000000004</v>
      </c>
      <c r="I16" s="149">
        <v>565.70000000000005</v>
      </c>
      <c r="J16" s="150"/>
      <c r="K16" s="151">
        <v>8131.5900000000029</v>
      </c>
      <c r="L16" s="152">
        <v>1.9613368055555601E-2</v>
      </c>
      <c r="M16" s="153">
        <v>149.96415929203573</v>
      </c>
      <c r="N16" s="154">
        <v>2.8008812999173776</v>
      </c>
      <c r="O16" s="155">
        <v>6.2</v>
      </c>
      <c r="P16" s="210"/>
      <c r="Q16" s="157"/>
      <c r="R16" s="183"/>
      <c r="S16" s="183"/>
      <c r="T16" s="199" t="e">
        <f t="shared" si="2"/>
        <v>#REF!</v>
      </c>
      <c r="U16" s="200" t="e">
        <f t="shared" si="3"/>
        <v>#REF!</v>
      </c>
      <c r="V16" s="201" t="e">
        <f t="shared" si="4"/>
        <v>#REF!</v>
      </c>
      <c r="W16" s="417">
        <f t="shared" si="5"/>
        <v>831.15</v>
      </c>
      <c r="X16" s="418">
        <f t="shared" si="6"/>
        <v>565.70000000000005</v>
      </c>
      <c r="Y16" s="202">
        <f t="shared" si="7"/>
        <v>508.8</v>
      </c>
      <c r="Z16" s="191"/>
      <c r="AA16" s="203">
        <f t="shared" si="8"/>
        <v>6.1538461538461542</v>
      </c>
      <c r="AB16" s="198">
        <f t="shared" si="9"/>
        <v>9.2307692307692299</v>
      </c>
      <c r="AC16" s="204">
        <f t="shared" si="10"/>
        <v>17.5</v>
      </c>
    </row>
    <row r="17" spans="1:29" ht="14" x14ac:dyDescent="0.2">
      <c r="A17" s="103"/>
      <c r="B17" s="120">
        <v>11</v>
      </c>
      <c r="C17" s="121">
        <v>380</v>
      </c>
      <c r="D17" s="177" t="str">
        <f t="shared" si="0"/>
        <v>テティス</v>
      </c>
      <c r="E17" s="215" t="e">
        <f t="shared" si="1"/>
        <v>#REF!</v>
      </c>
      <c r="F17" s="123">
        <v>9</v>
      </c>
      <c r="G17" s="124">
        <v>0.60465277777777782</v>
      </c>
      <c r="H17" s="121">
        <v>14442.000000000004</v>
      </c>
      <c r="I17" s="125">
        <v>557.82500000000005</v>
      </c>
      <c r="J17" s="123"/>
      <c r="K17" s="126">
        <v>8138.5775000000031</v>
      </c>
      <c r="L17" s="124">
        <v>1.9694241898148196E-2</v>
      </c>
      <c r="M17" s="127">
        <v>150.58252212389417</v>
      </c>
      <c r="N17" s="128">
        <v>2.8167843788948894</v>
      </c>
      <c r="O17" s="129">
        <v>4.5999999999999996</v>
      </c>
      <c r="P17" s="214"/>
      <c r="Q17" s="130"/>
      <c r="R17" s="183"/>
      <c r="S17" s="183"/>
      <c r="T17" s="199" t="e">
        <f t="shared" si="2"/>
        <v>#REF!</v>
      </c>
      <c r="U17" s="200" t="e">
        <f t="shared" si="3"/>
        <v>#REF!</v>
      </c>
      <c r="V17" s="201" t="e">
        <f t="shared" si="4"/>
        <v>#REF!</v>
      </c>
      <c r="W17" s="417">
        <f t="shared" si="5"/>
        <v>837</v>
      </c>
      <c r="X17" s="418">
        <f t="shared" si="6"/>
        <v>557.82500000000005</v>
      </c>
      <c r="Y17" s="202">
        <f t="shared" si="7"/>
        <v>507</v>
      </c>
      <c r="Z17" s="191"/>
      <c r="AA17" s="203">
        <f t="shared" si="8"/>
        <v>4.615384615384615</v>
      </c>
      <c r="AB17" s="198">
        <f t="shared" si="9"/>
        <v>6.9230769230769234</v>
      </c>
      <c r="AC17" s="204">
        <f t="shared" si="10"/>
        <v>15</v>
      </c>
    </row>
    <row r="18" spans="1:29" ht="14" x14ac:dyDescent="0.2">
      <c r="A18" s="103"/>
      <c r="B18" s="131">
        <v>12</v>
      </c>
      <c r="C18" s="132">
        <v>131</v>
      </c>
      <c r="D18" s="133" t="str">
        <f t="shared" si="0"/>
        <v>ふるたか</v>
      </c>
      <c r="E18" s="216" t="e">
        <f t="shared" si="1"/>
        <v>#REF!</v>
      </c>
      <c r="F18" s="353">
        <v>12</v>
      </c>
      <c r="G18" s="444">
        <v>0.62048611111111107</v>
      </c>
      <c r="H18" s="132">
        <v>15809.999999999996</v>
      </c>
      <c r="I18" s="136">
        <v>587.55212564843805</v>
      </c>
      <c r="J18" s="134"/>
      <c r="K18" s="137">
        <v>9170.6609801726463</v>
      </c>
      <c r="L18" s="135">
        <v>3.1639652548294532E-2</v>
      </c>
      <c r="M18" s="138">
        <v>241.91734337811036</v>
      </c>
      <c r="N18" s="139">
        <v>2.5730550284629987</v>
      </c>
      <c r="O18" s="140">
        <v>3.1</v>
      </c>
      <c r="P18" s="174"/>
      <c r="Q18" s="142"/>
      <c r="R18" s="183"/>
      <c r="S18" s="183"/>
      <c r="T18" s="199" t="e">
        <f t="shared" si="2"/>
        <v>#REF!</v>
      </c>
      <c r="U18" s="200" t="e">
        <f t="shared" si="3"/>
        <v>#REF!</v>
      </c>
      <c r="V18" s="201" t="e">
        <f t="shared" si="4"/>
        <v>#REF!</v>
      </c>
      <c r="W18" s="417">
        <f t="shared" si="5"/>
        <v>900.07179410207902</v>
      </c>
      <c r="X18" s="418">
        <f t="shared" si="6"/>
        <v>587.55212564843805</v>
      </c>
      <c r="Y18" s="202">
        <f t="shared" si="7"/>
        <v>533.64966543912703</v>
      </c>
      <c r="Z18" s="191"/>
      <c r="AA18" s="203">
        <f t="shared" si="8"/>
        <v>3.0769230769230771</v>
      </c>
      <c r="AB18" s="198">
        <f t="shared" si="9"/>
        <v>4.615384615384615</v>
      </c>
      <c r="AC18" s="204">
        <f t="shared" si="10"/>
        <v>12.5</v>
      </c>
    </row>
    <row r="19" spans="1:29" ht="14" x14ac:dyDescent="0.2">
      <c r="A19" s="103"/>
      <c r="B19" s="131">
        <v>13</v>
      </c>
      <c r="C19" s="132"/>
      <c r="D19" s="133" t="str">
        <f t="shared" ref="D19:D31" si="11">IF(ISBLANK(C19),"",VLOOKUP(C19,第3月ＴＡ,2,FALSE))</f>
        <v/>
      </c>
      <c r="E19" s="216" t="str">
        <f t="shared" ref="E19:E26" si="12">IF($I$6="Ⅰ",T19,IF($I$6="Ⅱ",U19,IF($I$6="Ⅲ",V19,"")))</f>
        <v/>
      </c>
      <c r="F19" s="353"/>
      <c r="G19" s="135"/>
      <c r="H19" s="132" t="s">
        <v>74</v>
      </c>
      <c r="I19" s="136" t="s">
        <v>74</v>
      </c>
      <c r="J19" s="134"/>
      <c r="K19" s="137" t="s">
        <v>74</v>
      </c>
      <c r="L19" s="135" t="s">
        <v>74</v>
      </c>
      <c r="M19" s="138" t="s">
        <v>74</v>
      </c>
      <c r="N19" s="139" t="s">
        <v>74</v>
      </c>
      <c r="O19" s="140"/>
      <c r="P19" s="174"/>
      <c r="Q19" s="142"/>
      <c r="R19" s="183"/>
      <c r="S19" s="183"/>
      <c r="T19" s="199" t="str">
        <f t="shared" si="2"/>
        <v/>
      </c>
      <c r="U19" s="200" t="str">
        <f t="shared" si="3"/>
        <v/>
      </c>
      <c r="V19" s="201" t="str">
        <f t="shared" si="4"/>
        <v/>
      </c>
      <c r="W19" s="417" t="str">
        <f t="shared" si="5"/>
        <v/>
      </c>
      <c r="X19" s="418" t="str">
        <f t="shared" si="6"/>
        <v/>
      </c>
      <c r="Y19" s="202" t="str">
        <f t="shared" si="7"/>
        <v/>
      </c>
      <c r="Z19" s="191"/>
      <c r="AA19" s="203">
        <f t="shared" si="8"/>
        <v>1.5384615384615385</v>
      </c>
      <c r="AB19" s="198">
        <f t="shared" si="9"/>
        <v>2.3076923076923075</v>
      </c>
      <c r="AC19" s="204">
        <f t="shared" si="10"/>
        <v>10</v>
      </c>
    </row>
    <row r="20" spans="1:29" ht="14" x14ac:dyDescent="0.2">
      <c r="A20" s="103"/>
      <c r="B20" s="131">
        <v>14</v>
      </c>
      <c r="C20" s="132">
        <v>199</v>
      </c>
      <c r="D20" s="133" t="str">
        <f t="shared" si="11"/>
        <v>サ－モン4</v>
      </c>
      <c r="E20" s="216" t="e">
        <f t="shared" si="12"/>
        <v>#REF!</v>
      </c>
      <c r="F20" s="353"/>
      <c r="G20" s="135"/>
      <c r="H20" s="132" t="s">
        <v>74</v>
      </c>
      <c r="I20" s="136">
        <v>568</v>
      </c>
      <c r="J20" s="134"/>
      <c r="K20" s="137" t="s">
        <v>74</v>
      </c>
      <c r="L20" s="135" t="s">
        <v>74</v>
      </c>
      <c r="M20" s="138" t="s">
        <v>74</v>
      </c>
      <c r="N20" s="139" t="s">
        <v>74</v>
      </c>
      <c r="O20" s="140">
        <v>1</v>
      </c>
      <c r="P20" s="214" t="s">
        <v>315</v>
      </c>
      <c r="Q20" s="142"/>
      <c r="R20" s="183"/>
      <c r="S20" s="183"/>
      <c r="T20" s="199" t="e">
        <f t="shared" si="2"/>
        <v>#REF!</v>
      </c>
      <c r="U20" s="200" t="e">
        <f t="shared" si="3"/>
        <v>#REF!</v>
      </c>
      <c r="V20" s="201" t="e">
        <f t="shared" si="4"/>
        <v>#REF!</v>
      </c>
      <c r="W20" s="417">
        <f t="shared" si="5"/>
        <v>878.35</v>
      </c>
      <c r="X20" s="418">
        <f t="shared" si="6"/>
        <v>568</v>
      </c>
      <c r="Y20" s="202">
        <f t="shared" si="7"/>
        <v>505.6</v>
      </c>
      <c r="Z20" s="191"/>
      <c r="AA20" s="203">
        <f t="shared" si="8"/>
        <v>0</v>
      </c>
      <c r="AB20" s="198">
        <f t="shared" si="9"/>
        <v>0</v>
      </c>
      <c r="AC20" s="204">
        <f t="shared" si="10"/>
        <v>7.5</v>
      </c>
    </row>
    <row r="21" spans="1:29" ht="14" x14ac:dyDescent="0.2">
      <c r="A21" s="103"/>
      <c r="B21" s="143">
        <v>15</v>
      </c>
      <c r="C21" s="144">
        <v>1611</v>
      </c>
      <c r="D21" s="145" t="str">
        <f t="shared" si="11"/>
        <v>ﾈﾌﾟﾁｭｰﾝXⅡ</v>
      </c>
      <c r="E21" s="217" t="e">
        <f t="shared" si="12"/>
        <v>#REF!</v>
      </c>
      <c r="F21" s="354"/>
      <c r="G21" s="147"/>
      <c r="H21" s="148" t="s">
        <v>74</v>
      </c>
      <c r="I21" s="149">
        <v>594.45000000000005</v>
      </c>
      <c r="J21" s="150"/>
      <c r="K21" s="151" t="s">
        <v>74</v>
      </c>
      <c r="L21" s="152" t="s">
        <v>74</v>
      </c>
      <c r="M21" s="153" t="s">
        <v>74</v>
      </c>
      <c r="N21" s="154" t="s">
        <v>74</v>
      </c>
      <c r="O21" s="155">
        <v>10.730769230769228</v>
      </c>
      <c r="P21" s="210" t="s">
        <v>337</v>
      </c>
      <c r="Q21" s="157"/>
      <c r="R21" s="183"/>
      <c r="S21" s="183"/>
      <c r="T21" s="199" t="e">
        <f t="shared" si="2"/>
        <v>#REF!</v>
      </c>
      <c r="U21" s="200" t="e">
        <f t="shared" si="3"/>
        <v>#REF!</v>
      </c>
      <c r="V21" s="201" t="e">
        <f t="shared" si="4"/>
        <v>#REF!</v>
      </c>
      <c r="W21" s="417">
        <f t="shared" si="5"/>
        <v>921.65</v>
      </c>
      <c r="X21" s="418">
        <f t="shared" si="6"/>
        <v>594.45000000000005</v>
      </c>
      <c r="Y21" s="202">
        <f t="shared" si="7"/>
        <v>540.29999999999995</v>
      </c>
      <c r="Z21" s="191"/>
      <c r="AA21" s="203">
        <f t="shared" si="8"/>
        <v>-1.5384615384615385</v>
      </c>
      <c r="AB21" s="198">
        <f t="shared" si="9"/>
        <v>-2.3076923076923075</v>
      </c>
      <c r="AC21" s="204">
        <f t="shared" si="10"/>
        <v>5</v>
      </c>
    </row>
    <row r="22" spans="1:29" ht="14" x14ac:dyDescent="0.2">
      <c r="A22" s="103"/>
      <c r="B22" s="172">
        <v>16</v>
      </c>
      <c r="C22" s="121"/>
      <c r="D22" s="177" t="str">
        <f t="shared" si="11"/>
        <v/>
      </c>
      <c r="E22" s="215" t="str">
        <f t="shared" si="12"/>
        <v/>
      </c>
      <c r="F22" s="355"/>
      <c r="G22" s="124"/>
      <c r="H22" s="121" t="str">
        <f t="shared" ref="H22:H26" si="13">IFERROR(IF(G22-$Q$2&lt;=0,"",(G22-$Q$2)*86400),"")</f>
        <v/>
      </c>
      <c r="I22" s="125" t="str">
        <f t="shared" ref="I22:I26" si="14">IF($I$6="Ⅰ",W22,IF($I$6="Ⅱ",X22,IF($I$6="Ⅲ",Y22,"")))</f>
        <v/>
      </c>
      <c r="J22" s="123"/>
      <c r="K22" s="126" t="str">
        <f t="shared" ref="K22:K26" si="15">IFERROR(H22*(1+0.01*J22)-I22*$N$3,"")</f>
        <v/>
      </c>
      <c r="L22" s="124" t="str">
        <f t="shared" ref="L22:L26" si="16">IFERROR((K22-$K$7)/86400,"")</f>
        <v/>
      </c>
      <c r="M22" s="127" t="str">
        <f t="shared" ref="M22:M26" si="17">IFERROR((K22-$K$7)/$N$3,"")</f>
        <v/>
      </c>
      <c r="N22" s="128" t="str">
        <f t="shared" ref="N22:N26" si="18">IFERROR($N$3/(H22/3600),"")</f>
        <v/>
      </c>
      <c r="O22" s="129"/>
      <c r="P22" s="219"/>
      <c r="Q22" s="173"/>
      <c r="R22" s="183"/>
      <c r="S22" s="183"/>
      <c r="T22" s="199" t="str">
        <f t="shared" si="2"/>
        <v/>
      </c>
      <c r="U22" s="200" t="str">
        <f t="shared" si="3"/>
        <v/>
      </c>
      <c r="V22" s="201" t="str">
        <f t="shared" si="4"/>
        <v/>
      </c>
      <c r="W22" s="417" t="str">
        <f t="shared" si="5"/>
        <v/>
      </c>
      <c r="X22" s="418" t="str">
        <f t="shared" si="6"/>
        <v/>
      </c>
      <c r="Y22" s="202" t="str">
        <f t="shared" si="7"/>
        <v/>
      </c>
      <c r="Z22" s="191"/>
      <c r="AA22" s="203">
        <f t="shared" si="8"/>
        <v>-3.0769230769230771</v>
      </c>
      <c r="AB22" s="198">
        <f t="shared" si="9"/>
        <v>-4.615384615384615</v>
      </c>
      <c r="AC22" s="204">
        <f t="shared" si="10"/>
        <v>2.5</v>
      </c>
    </row>
    <row r="23" spans="1:29" ht="14" x14ac:dyDescent="0.2">
      <c r="A23" s="103"/>
      <c r="B23" s="131">
        <v>17</v>
      </c>
      <c r="C23" s="132"/>
      <c r="D23" s="133" t="str">
        <f t="shared" si="11"/>
        <v/>
      </c>
      <c r="E23" s="216" t="str">
        <f t="shared" si="12"/>
        <v/>
      </c>
      <c r="F23" s="353"/>
      <c r="G23" s="135"/>
      <c r="H23" s="132" t="str">
        <f t="shared" si="13"/>
        <v/>
      </c>
      <c r="I23" s="136" t="str">
        <f t="shared" si="14"/>
        <v/>
      </c>
      <c r="J23" s="134"/>
      <c r="K23" s="137" t="str">
        <f t="shared" si="15"/>
        <v/>
      </c>
      <c r="L23" s="135" t="str">
        <f t="shared" si="16"/>
        <v/>
      </c>
      <c r="M23" s="138" t="str">
        <f t="shared" si="17"/>
        <v/>
      </c>
      <c r="N23" s="139" t="str">
        <f t="shared" si="18"/>
        <v/>
      </c>
      <c r="O23" s="140"/>
      <c r="P23" s="174"/>
      <c r="Q23" s="142"/>
      <c r="R23" s="183"/>
      <c r="S23" s="183"/>
      <c r="T23" s="199" t="str">
        <f t="shared" si="2"/>
        <v/>
      </c>
      <c r="U23" s="200" t="str">
        <f t="shared" si="3"/>
        <v/>
      </c>
      <c r="V23" s="201" t="str">
        <f t="shared" si="4"/>
        <v/>
      </c>
      <c r="W23" s="417" t="str">
        <f t="shared" si="5"/>
        <v/>
      </c>
      <c r="X23" s="418" t="str">
        <f t="shared" si="6"/>
        <v/>
      </c>
      <c r="Y23" s="202" t="str">
        <f t="shared" si="7"/>
        <v/>
      </c>
      <c r="Z23" s="191"/>
      <c r="AA23" s="203">
        <f t="shared" si="8"/>
        <v>-4.615384615384615</v>
      </c>
      <c r="AB23" s="198">
        <f t="shared" si="9"/>
        <v>-6.9230769230769234</v>
      </c>
      <c r="AC23" s="204">
        <f t="shared" si="10"/>
        <v>0</v>
      </c>
    </row>
    <row r="24" spans="1:29" ht="14" x14ac:dyDescent="0.2">
      <c r="A24" s="103"/>
      <c r="B24" s="172">
        <v>18</v>
      </c>
      <c r="C24" s="132"/>
      <c r="D24" s="133" t="str">
        <f t="shared" si="11"/>
        <v/>
      </c>
      <c r="E24" s="216" t="str">
        <f t="shared" si="12"/>
        <v/>
      </c>
      <c r="F24" s="134"/>
      <c r="G24" s="135"/>
      <c r="H24" s="132" t="str">
        <f t="shared" si="13"/>
        <v/>
      </c>
      <c r="I24" s="136" t="str">
        <f t="shared" si="14"/>
        <v/>
      </c>
      <c r="J24" s="134"/>
      <c r="K24" s="137" t="str">
        <f t="shared" si="15"/>
        <v/>
      </c>
      <c r="L24" s="135" t="str">
        <f t="shared" si="16"/>
        <v/>
      </c>
      <c r="M24" s="138" t="str">
        <f t="shared" si="17"/>
        <v/>
      </c>
      <c r="N24" s="139" t="str">
        <f t="shared" si="18"/>
        <v/>
      </c>
      <c r="O24" s="140"/>
      <c r="P24" s="175"/>
      <c r="Q24" s="142"/>
      <c r="R24" s="183"/>
      <c r="S24" s="183"/>
      <c r="T24" s="199" t="str">
        <f t="shared" si="2"/>
        <v/>
      </c>
      <c r="U24" s="200" t="str">
        <f t="shared" si="3"/>
        <v/>
      </c>
      <c r="V24" s="201" t="str">
        <f t="shared" si="4"/>
        <v/>
      </c>
      <c r="W24" s="417" t="str">
        <f t="shared" si="5"/>
        <v/>
      </c>
      <c r="X24" s="418" t="str">
        <f t="shared" si="6"/>
        <v/>
      </c>
      <c r="Y24" s="202" t="str">
        <f t="shared" si="7"/>
        <v/>
      </c>
      <c r="Z24" s="191"/>
      <c r="AA24" s="203">
        <f t="shared" si="8"/>
        <v>-6.1538461538461542</v>
      </c>
      <c r="AB24" s="198">
        <f t="shared" si="9"/>
        <v>-9.2307692307692299</v>
      </c>
      <c r="AC24" s="204">
        <f t="shared" si="10"/>
        <v>-2.5</v>
      </c>
    </row>
    <row r="25" spans="1:29" ht="14" x14ac:dyDescent="0.2">
      <c r="A25" s="103"/>
      <c r="B25" s="131">
        <v>19</v>
      </c>
      <c r="C25" s="132"/>
      <c r="D25" s="133" t="str">
        <f t="shared" si="11"/>
        <v/>
      </c>
      <c r="E25" s="216" t="str">
        <f t="shared" si="12"/>
        <v/>
      </c>
      <c r="F25" s="134"/>
      <c r="G25" s="135"/>
      <c r="H25" s="132" t="str">
        <f t="shared" si="13"/>
        <v/>
      </c>
      <c r="I25" s="136" t="str">
        <f t="shared" si="14"/>
        <v/>
      </c>
      <c r="J25" s="134"/>
      <c r="K25" s="137" t="str">
        <f t="shared" si="15"/>
        <v/>
      </c>
      <c r="L25" s="135" t="str">
        <f t="shared" si="16"/>
        <v/>
      </c>
      <c r="M25" s="138" t="str">
        <f t="shared" si="17"/>
        <v/>
      </c>
      <c r="N25" s="139" t="str">
        <f t="shared" si="18"/>
        <v/>
      </c>
      <c r="O25" s="140"/>
      <c r="P25" s="175"/>
      <c r="Q25" s="142"/>
      <c r="R25" s="183"/>
      <c r="S25" s="183"/>
      <c r="T25" s="199" t="str">
        <f t="shared" si="2"/>
        <v/>
      </c>
      <c r="U25" s="200" t="str">
        <f t="shared" si="3"/>
        <v/>
      </c>
      <c r="V25" s="201" t="str">
        <f t="shared" si="4"/>
        <v/>
      </c>
      <c r="W25" s="417" t="str">
        <f t="shared" si="5"/>
        <v/>
      </c>
      <c r="X25" s="418" t="str">
        <f t="shared" si="6"/>
        <v/>
      </c>
      <c r="Y25" s="202" t="str">
        <f t="shared" si="7"/>
        <v/>
      </c>
      <c r="Z25" s="191"/>
      <c r="AA25" s="203">
        <f t="shared" si="8"/>
        <v>-7.6923076923076925</v>
      </c>
      <c r="AB25" s="198">
        <f t="shared" si="9"/>
        <v>-11.538461538461538</v>
      </c>
      <c r="AC25" s="204">
        <f t="shared" si="10"/>
        <v>-5</v>
      </c>
    </row>
    <row r="26" spans="1:29" ht="14" x14ac:dyDescent="0.2">
      <c r="A26" s="103"/>
      <c r="B26" s="143">
        <v>20</v>
      </c>
      <c r="C26" s="144"/>
      <c r="D26" s="145" t="str">
        <f t="shared" si="11"/>
        <v/>
      </c>
      <c r="E26" s="217" t="str">
        <f t="shared" si="12"/>
        <v/>
      </c>
      <c r="F26" s="146"/>
      <c r="G26" s="147"/>
      <c r="H26" s="148" t="str">
        <f t="shared" si="13"/>
        <v/>
      </c>
      <c r="I26" s="149" t="str">
        <f t="shared" si="14"/>
        <v/>
      </c>
      <c r="J26" s="150"/>
      <c r="K26" s="151" t="str">
        <f t="shared" si="15"/>
        <v/>
      </c>
      <c r="L26" s="152" t="str">
        <f t="shared" si="16"/>
        <v/>
      </c>
      <c r="M26" s="153" t="str">
        <f t="shared" si="17"/>
        <v/>
      </c>
      <c r="N26" s="154" t="str">
        <f t="shared" si="18"/>
        <v/>
      </c>
      <c r="O26" s="155"/>
      <c r="P26" s="176"/>
      <c r="Q26" s="157"/>
      <c r="R26" s="183"/>
      <c r="S26" s="183"/>
      <c r="T26" s="199" t="str">
        <f t="shared" si="2"/>
        <v/>
      </c>
      <c r="U26" s="200" t="str">
        <f t="shared" si="3"/>
        <v/>
      </c>
      <c r="V26" s="201" t="str">
        <f t="shared" si="4"/>
        <v/>
      </c>
      <c r="W26" s="417" t="str">
        <f t="shared" si="5"/>
        <v/>
      </c>
      <c r="X26" s="418" t="str">
        <f t="shared" si="6"/>
        <v/>
      </c>
      <c r="Y26" s="202" t="str">
        <f t="shared" si="7"/>
        <v/>
      </c>
      <c r="Z26" s="191"/>
      <c r="AA26" s="203">
        <f t="shared" si="8"/>
        <v>-9.2307692307692299</v>
      </c>
      <c r="AB26" s="198">
        <f t="shared" si="9"/>
        <v>-13.846153846153847</v>
      </c>
      <c r="AC26" s="204">
        <f t="shared" si="10"/>
        <v>-7.5</v>
      </c>
    </row>
    <row r="27" spans="1:29" ht="14" x14ac:dyDescent="0.2">
      <c r="A27" s="103"/>
      <c r="B27" s="172"/>
      <c r="C27" s="164"/>
      <c r="D27" s="177" t="str">
        <f t="shared" si="11"/>
        <v/>
      </c>
      <c r="E27" s="166"/>
      <c r="F27" s="166"/>
      <c r="G27" s="168"/>
      <c r="H27" s="121" t="str">
        <f>IFERROR(IF(G27-$Q$2&lt;=0,"",(G27-$Q$2)*86400),"")</f>
        <v/>
      </c>
      <c r="I27" s="125"/>
      <c r="J27" s="123"/>
      <c r="K27" s="126" t="str">
        <f>IFERROR(H27*(1+0.01*J27)-I27*$N$3,"")</f>
        <v/>
      </c>
      <c r="L27" s="124" t="str">
        <f>IFERROR((K27-$K$7)/86400,"")</f>
        <v/>
      </c>
      <c r="M27" s="127" t="str">
        <f>IFERROR((K27-$K$7)/$N$3,"")</f>
        <v/>
      </c>
      <c r="N27" s="128" t="str">
        <f>IFERROR($N$3/(H27/3600),"")</f>
        <v/>
      </c>
      <c r="O27" s="129"/>
      <c r="P27" s="178"/>
      <c r="Q27" s="173"/>
      <c r="R27" s="183"/>
      <c r="S27" s="183"/>
      <c r="T27" s="199" t="str">
        <f t="shared" si="2"/>
        <v/>
      </c>
      <c r="U27" s="200" t="str">
        <f t="shared" si="3"/>
        <v/>
      </c>
      <c r="V27" s="201" t="str">
        <f t="shared" si="4"/>
        <v/>
      </c>
      <c r="W27" s="417" t="str">
        <f t="shared" si="5"/>
        <v/>
      </c>
      <c r="X27" s="418" t="str">
        <f t="shared" si="6"/>
        <v/>
      </c>
      <c r="Y27" s="202" t="str">
        <f t="shared" si="7"/>
        <v/>
      </c>
      <c r="Z27" s="191"/>
      <c r="AA27" s="203" t="str">
        <f t="shared" si="8"/>
        <v/>
      </c>
      <c r="AB27" s="198" t="str">
        <f t="shared" si="9"/>
        <v/>
      </c>
      <c r="AC27" s="204" t="str">
        <f t="shared" si="10"/>
        <v/>
      </c>
    </row>
    <row r="28" spans="1:29" ht="14.25" customHeight="1" x14ac:dyDescent="0.2">
      <c r="A28" s="103"/>
      <c r="B28" s="131"/>
      <c r="C28" s="132"/>
      <c r="D28" s="133" t="str">
        <f t="shared" si="11"/>
        <v/>
      </c>
      <c r="E28" s="134"/>
      <c r="F28" s="134"/>
      <c r="G28" s="135"/>
      <c r="H28" s="132"/>
      <c r="I28" s="136"/>
      <c r="J28" s="134"/>
      <c r="K28" s="137"/>
      <c r="L28" s="135"/>
      <c r="M28" s="138"/>
      <c r="N28" s="139"/>
      <c r="O28" s="140"/>
      <c r="P28" s="179"/>
      <c r="Q28" s="142"/>
      <c r="R28" s="183"/>
      <c r="S28" s="183"/>
      <c r="T28" s="199" t="str">
        <f t="shared" si="2"/>
        <v/>
      </c>
      <c r="U28" s="200" t="str">
        <f t="shared" si="3"/>
        <v/>
      </c>
      <c r="V28" s="201" t="str">
        <f t="shared" si="4"/>
        <v/>
      </c>
      <c r="W28" s="417" t="str">
        <f t="shared" si="5"/>
        <v/>
      </c>
      <c r="X28" s="418" t="str">
        <f t="shared" si="6"/>
        <v/>
      </c>
      <c r="Y28" s="202" t="str">
        <f t="shared" si="7"/>
        <v/>
      </c>
      <c r="Z28" s="191"/>
      <c r="AA28" s="203" t="str">
        <f t="shared" si="8"/>
        <v/>
      </c>
      <c r="AB28" s="198" t="str">
        <f t="shared" si="9"/>
        <v/>
      </c>
      <c r="AC28" s="204" t="str">
        <f t="shared" si="10"/>
        <v/>
      </c>
    </row>
    <row r="29" spans="1:29" ht="14" x14ac:dyDescent="0.2">
      <c r="A29" s="103"/>
      <c r="B29" s="131"/>
      <c r="C29" s="132"/>
      <c r="D29" s="133" t="str">
        <f t="shared" si="11"/>
        <v/>
      </c>
      <c r="E29" s="134"/>
      <c r="F29" s="134"/>
      <c r="G29" s="135"/>
      <c r="H29" s="132"/>
      <c r="I29" s="136"/>
      <c r="J29" s="134"/>
      <c r="K29" s="137"/>
      <c r="L29" s="135"/>
      <c r="M29" s="138"/>
      <c r="N29" s="139"/>
      <c r="O29" s="140"/>
      <c r="P29" s="175"/>
      <c r="Q29" s="142"/>
      <c r="R29" s="183"/>
      <c r="S29" s="183"/>
      <c r="T29" s="199" t="str">
        <f t="shared" si="2"/>
        <v/>
      </c>
      <c r="U29" s="200" t="str">
        <f t="shared" si="3"/>
        <v/>
      </c>
      <c r="V29" s="201" t="str">
        <f t="shared" si="4"/>
        <v/>
      </c>
      <c r="W29" s="417" t="str">
        <f t="shared" si="5"/>
        <v/>
      </c>
      <c r="X29" s="418" t="str">
        <f t="shared" si="6"/>
        <v/>
      </c>
      <c r="Y29" s="202" t="str">
        <f t="shared" si="7"/>
        <v/>
      </c>
      <c r="Z29" s="191"/>
      <c r="AA29" s="203" t="str">
        <f t="shared" si="8"/>
        <v/>
      </c>
      <c r="AB29" s="198" t="str">
        <f t="shared" si="9"/>
        <v/>
      </c>
      <c r="AC29" s="204" t="str">
        <f t="shared" si="10"/>
        <v/>
      </c>
    </row>
    <row r="30" spans="1:29" ht="14.25" customHeight="1" x14ac:dyDescent="0.2">
      <c r="A30" s="103"/>
      <c r="B30" s="131"/>
      <c r="C30" s="132"/>
      <c r="D30" s="133" t="str">
        <f t="shared" si="11"/>
        <v/>
      </c>
      <c r="E30" s="134"/>
      <c r="F30" s="134"/>
      <c r="G30" s="135"/>
      <c r="H30" s="132"/>
      <c r="I30" s="136"/>
      <c r="J30" s="134"/>
      <c r="K30" s="137"/>
      <c r="L30" s="135"/>
      <c r="M30" s="138"/>
      <c r="N30" s="139"/>
      <c r="O30" s="140"/>
      <c r="P30" s="175"/>
      <c r="Q30" s="142"/>
      <c r="R30" s="183"/>
      <c r="S30" s="183"/>
      <c r="T30" s="199" t="str">
        <f t="shared" si="2"/>
        <v/>
      </c>
      <c r="U30" s="200" t="str">
        <f t="shared" si="3"/>
        <v/>
      </c>
      <c r="V30" s="201" t="str">
        <f t="shared" si="4"/>
        <v/>
      </c>
      <c r="W30" s="417" t="str">
        <f t="shared" si="5"/>
        <v/>
      </c>
      <c r="X30" s="418" t="str">
        <f t="shared" si="6"/>
        <v/>
      </c>
      <c r="Y30" s="202" t="str">
        <f t="shared" si="7"/>
        <v/>
      </c>
      <c r="Z30" s="191"/>
      <c r="AA30" s="203" t="str">
        <f t="shared" si="8"/>
        <v/>
      </c>
      <c r="AB30" s="198" t="str">
        <f t="shared" si="9"/>
        <v/>
      </c>
      <c r="AC30" s="204" t="str">
        <f t="shared" si="10"/>
        <v/>
      </c>
    </row>
    <row r="31" spans="1:29" ht="14.5" thickBot="1" x14ac:dyDescent="0.25">
      <c r="A31" s="103"/>
      <c r="B31" s="131"/>
      <c r="C31" s="132"/>
      <c r="D31" s="145" t="str">
        <f t="shared" si="11"/>
        <v/>
      </c>
      <c r="E31" s="146"/>
      <c r="F31" s="134"/>
      <c r="G31" s="135"/>
      <c r="H31" s="144" t="str">
        <f>IFERROR(IF(G31-$Q$2&lt;=0,"",(G31-$Q$2)*86400),"")</f>
        <v/>
      </c>
      <c r="I31" s="158" t="str">
        <f>IF($I$6="Ⅰ",W31,IF($I$6="Ⅱ",X31,IF($I$6="Ⅲ",Y31,"")))</f>
        <v/>
      </c>
      <c r="J31" s="146"/>
      <c r="K31" s="160" t="str">
        <f>IFERROR(H31*(1+0.01*J31)-I31*$N$3,"")</f>
        <v/>
      </c>
      <c r="L31" s="147" t="str">
        <f>IFERROR((K31-$K$7)/86400,"")</f>
        <v/>
      </c>
      <c r="M31" s="161" t="str">
        <f>IFERROR((K31-$K$7)/$N$3,"")</f>
        <v/>
      </c>
      <c r="N31" s="162" t="str">
        <f>IFERROR($N$3/(H31/3600),"")</f>
        <v/>
      </c>
      <c r="O31" s="163" t="str">
        <f>IF($O$6="MAX=20",AA31,IF($O$6="MAX=30",AB31,IF($O$6="MAX=40",AC31,"")))</f>
        <v/>
      </c>
      <c r="P31" s="176"/>
      <c r="Q31" s="157"/>
      <c r="R31" s="183"/>
      <c r="S31" s="183"/>
      <c r="T31" s="205" t="str">
        <f t="shared" si="2"/>
        <v/>
      </c>
      <c r="U31" s="206" t="str">
        <f t="shared" si="3"/>
        <v/>
      </c>
      <c r="V31" s="207" t="str">
        <f t="shared" si="4"/>
        <v/>
      </c>
      <c r="W31" s="419" t="str">
        <f t="shared" si="5"/>
        <v/>
      </c>
      <c r="X31" s="420" t="str">
        <f t="shared" si="6"/>
        <v/>
      </c>
      <c r="Y31" s="421" t="str">
        <f t="shared" si="7"/>
        <v/>
      </c>
      <c r="Z31" s="191"/>
      <c r="AA31" s="211" t="str">
        <f t="shared" si="8"/>
        <v/>
      </c>
      <c r="AB31" s="212" t="str">
        <f t="shared" si="9"/>
        <v/>
      </c>
      <c r="AC31" s="213" t="str">
        <f t="shared" si="10"/>
        <v/>
      </c>
    </row>
    <row r="32" spans="1:29" ht="15" customHeight="1" x14ac:dyDescent="0.25">
      <c r="A32" s="103"/>
      <c r="B32" s="580" t="s">
        <v>203</v>
      </c>
      <c r="C32" s="581"/>
      <c r="D32" s="582"/>
      <c r="E32" s="180" t="s">
        <v>159</v>
      </c>
      <c r="F32" s="589" t="s">
        <v>344</v>
      </c>
      <c r="G32" s="590"/>
      <c r="H32" s="616" t="s">
        <v>346</v>
      </c>
      <c r="I32" s="603"/>
      <c r="J32" s="603"/>
      <c r="K32" s="603"/>
      <c r="L32" s="603"/>
      <c r="M32" s="603"/>
      <c r="N32" s="603"/>
      <c r="O32" s="603"/>
      <c r="P32" s="603"/>
      <c r="Q32" s="617"/>
      <c r="R32" s="325"/>
      <c r="S32" s="94"/>
      <c r="T32" s="186"/>
      <c r="U32" s="186"/>
      <c r="V32" s="186"/>
      <c r="Y32" s="186"/>
      <c r="Z32" s="186"/>
    </row>
    <row r="33" spans="1:26" ht="15" customHeight="1" x14ac:dyDescent="0.25">
      <c r="A33" s="103"/>
      <c r="B33" s="583"/>
      <c r="C33" s="584"/>
      <c r="D33" s="585"/>
      <c r="E33" s="181" t="s">
        <v>160</v>
      </c>
      <c r="F33" s="600" t="s">
        <v>338</v>
      </c>
      <c r="G33" s="601"/>
      <c r="H33" s="618"/>
      <c r="I33" s="606"/>
      <c r="J33" s="606"/>
      <c r="K33" s="606"/>
      <c r="L33" s="606"/>
      <c r="M33" s="606"/>
      <c r="N33" s="606"/>
      <c r="O33" s="606"/>
      <c r="P33" s="606"/>
      <c r="Q33" s="619"/>
      <c r="R33" s="325"/>
      <c r="S33" s="94"/>
      <c r="T33" s="186"/>
      <c r="U33" s="186"/>
      <c r="V33" s="186"/>
      <c r="Y33" s="186"/>
      <c r="Z33" s="186"/>
    </row>
    <row r="34" spans="1:26" ht="23.25" customHeight="1" x14ac:dyDescent="0.25">
      <c r="A34" s="103"/>
      <c r="B34" s="586"/>
      <c r="C34" s="587"/>
      <c r="D34" s="588"/>
      <c r="E34" s="181" t="s">
        <v>161</v>
      </c>
      <c r="F34" s="600"/>
      <c r="G34" s="601"/>
      <c r="H34" s="618"/>
      <c r="I34" s="606"/>
      <c r="J34" s="606"/>
      <c r="K34" s="606"/>
      <c r="L34" s="606"/>
      <c r="M34" s="606"/>
      <c r="N34" s="606"/>
      <c r="O34" s="606"/>
      <c r="P34" s="606"/>
      <c r="Q34" s="619"/>
      <c r="R34" s="325"/>
      <c r="S34" s="94"/>
      <c r="T34" s="186"/>
      <c r="U34" s="186"/>
      <c r="V34" s="186"/>
      <c r="Y34" s="186"/>
      <c r="Z34" s="186"/>
    </row>
    <row r="35" spans="1:26" ht="22.5" customHeight="1" x14ac:dyDescent="0.25">
      <c r="A35" s="103"/>
      <c r="B35" s="602" t="s">
        <v>204</v>
      </c>
      <c r="C35" s="603"/>
      <c r="D35" s="604"/>
      <c r="E35" s="574" t="s">
        <v>163</v>
      </c>
      <c r="F35" s="595" t="str">
        <f>参照ﾃﾞｰﾀ!AB13</f>
        <v>ネプチューンXII</v>
      </c>
      <c r="G35" s="622"/>
      <c r="H35" s="618"/>
      <c r="I35" s="606"/>
      <c r="J35" s="606"/>
      <c r="K35" s="606"/>
      <c r="L35" s="606"/>
      <c r="M35" s="606"/>
      <c r="N35" s="606"/>
      <c r="O35" s="606"/>
      <c r="P35" s="606"/>
      <c r="Q35" s="619"/>
      <c r="R35" s="325"/>
      <c r="S35" s="94"/>
      <c r="T35" s="186"/>
      <c r="U35" s="186"/>
      <c r="V35" s="186"/>
      <c r="Y35" s="186"/>
      <c r="Z35" s="186"/>
    </row>
    <row r="36" spans="1:26" ht="15" customHeight="1" x14ac:dyDescent="0.25">
      <c r="A36" s="103"/>
      <c r="B36" s="605"/>
      <c r="C36" s="606"/>
      <c r="D36" s="607"/>
      <c r="E36" s="613"/>
      <c r="F36" s="600"/>
      <c r="G36" s="601"/>
      <c r="H36" s="618"/>
      <c r="I36" s="606"/>
      <c r="J36" s="606"/>
      <c r="K36" s="606"/>
      <c r="L36" s="606"/>
      <c r="M36" s="606"/>
      <c r="N36" s="606"/>
      <c r="O36" s="606"/>
      <c r="P36" s="606"/>
      <c r="Q36" s="619"/>
      <c r="R36" s="325"/>
      <c r="S36" s="94"/>
      <c r="T36" s="186"/>
      <c r="U36" s="186"/>
      <c r="V36" s="186"/>
      <c r="Y36" s="186"/>
      <c r="Z36" s="186"/>
    </row>
    <row r="37" spans="1:26" ht="15" customHeight="1" x14ac:dyDescent="0.25">
      <c r="A37" s="103"/>
      <c r="B37" s="605"/>
      <c r="C37" s="606"/>
      <c r="D37" s="607"/>
      <c r="E37" s="180" t="s">
        <v>162</v>
      </c>
      <c r="F37" s="614">
        <v>45949</v>
      </c>
      <c r="G37" s="590"/>
      <c r="H37" s="618"/>
      <c r="I37" s="606"/>
      <c r="J37" s="606"/>
      <c r="K37" s="606"/>
      <c r="L37" s="606"/>
      <c r="M37" s="606"/>
      <c r="N37" s="606"/>
      <c r="O37" s="606"/>
      <c r="P37" s="606"/>
      <c r="Q37" s="619"/>
      <c r="R37" s="325"/>
      <c r="S37" s="94"/>
      <c r="T37" s="186"/>
      <c r="U37" s="186"/>
      <c r="V37" s="186"/>
      <c r="Y37" s="186"/>
      <c r="Z37" s="186"/>
    </row>
    <row r="38" spans="1:26" ht="15" customHeight="1" x14ac:dyDescent="0.25">
      <c r="A38" s="103"/>
      <c r="B38" s="605"/>
      <c r="C38" s="606"/>
      <c r="D38" s="607"/>
      <c r="E38" s="181" t="s">
        <v>175</v>
      </c>
      <c r="F38" s="600" t="s">
        <v>194</v>
      </c>
      <c r="G38" s="601"/>
      <c r="H38" s="618"/>
      <c r="I38" s="606"/>
      <c r="J38" s="606"/>
      <c r="K38" s="606"/>
      <c r="L38" s="606"/>
      <c r="M38" s="606"/>
      <c r="N38" s="606"/>
      <c r="O38" s="606"/>
      <c r="P38" s="606"/>
      <c r="Q38" s="619"/>
      <c r="R38" s="325"/>
      <c r="S38" s="94"/>
      <c r="T38" s="186"/>
      <c r="U38" s="186"/>
      <c r="V38" s="186"/>
      <c r="Y38" s="186"/>
      <c r="Z38" s="186"/>
    </row>
    <row r="39" spans="1:26" ht="15" customHeight="1" x14ac:dyDescent="0.25">
      <c r="A39" s="103"/>
      <c r="B39" s="605"/>
      <c r="C39" s="606"/>
      <c r="D39" s="607"/>
      <c r="E39" s="574" t="s">
        <v>163</v>
      </c>
      <c r="F39" s="600" t="str">
        <f>参照ﾃﾞｰﾀ!AB14</f>
        <v>Miss Emica</v>
      </c>
      <c r="G39" s="601"/>
      <c r="H39" s="618"/>
      <c r="I39" s="606"/>
      <c r="J39" s="606"/>
      <c r="K39" s="606"/>
      <c r="L39" s="606"/>
      <c r="M39" s="606"/>
      <c r="N39" s="606"/>
      <c r="O39" s="606"/>
      <c r="P39" s="606"/>
      <c r="Q39" s="619"/>
      <c r="R39" s="325"/>
      <c r="S39" s="94"/>
      <c r="T39" s="186"/>
      <c r="U39" s="186"/>
      <c r="V39" s="186"/>
      <c r="Y39" s="186"/>
      <c r="Z39" s="186"/>
    </row>
    <row r="40" spans="1:26" ht="15" customHeight="1" x14ac:dyDescent="0.25">
      <c r="A40" s="103"/>
      <c r="B40" s="605"/>
      <c r="C40" s="606"/>
      <c r="D40" s="607"/>
      <c r="E40" s="574"/>
      <c r="F40" s="600"/>
      <c r="G40" s="601"/>
      <c r="H40" s="618"/>
      <c r="I40" s="606"/>
      <c r="J40" s="606"/>
      <c r="K40" s="606"/>
      <c r="L40" s="606"/>
      <c r="M40" s="606"/>
      <c r="N40" s="606"/>
      <c r="O40" s="606"/>
      <c r="P40" s="606"/>
      <c r="Q40" s="619"/>
      <c r="R40" s="325"/>
      <c r="S40" s="94"/>
      <c r="T40" s="186"/>
      <c r="U40" s="186"/>
      <c r="V40" s="186"/>
      <c r="Y40" s="186"/>
      <c r="Z40" s="186"/>
    </row>
    <row r="41" spans="1:26" ht="11.25" customHeight="1" thickBot="1" x14ac:dyDescent="0.3">
      <c r="A41" s="103"/>
      <c r="B41" s="608"/>
      <c r="C41" s="609"/>
      <c r="D41" s="610"/>
      <c r="E41" s="182"/>
      <c r="F41" s="611"/>
      <c r="G41" s="612"/>
      <c r="H41" s="620"/>
      <c r="I41" s="609"/>
      <c r="J41" s="609"/>
      <c r="K41" s="609"/>
      <c r="L41" s="609"/>
      <c r="M41" s="609"/>
      <c r="N41" s="609"/>
      <c r="O41" s="609"/>
      <c r="P41" s="609"/>
      <c r="Q41" s="621"/>
      <c r="R41" s="325"/>
      <c r="S41" s="94"/>
      <c r="T41" s="186"/>
      <c r="U41" s="186"/>
      <c r="V41" s="186"/>
      <c r="W41" s="186"/>
      <c r="X41" s="186"/>
      <c r="Y41" s="186"/>
      <c r="Z41" s="186"/>
    </row>
    <row r="42" spans="1:26" x14ac:dyDescent="0.2">
      <c r="A42" s="103"/>
      <c r="B42" s="103"/>
      <c r="C42" s="103"/>
      <c r="D42" s="103"/>
      <c r="E42" s="103"/>
      <c r="F42" s="103"/>
      <c r="G42" s="103"/>
      <c r="H42" s="103"/>
      <c r="I42" s="103"/>
      <c r="J42" s="103"/>
      <c r="K42" s="103"/>
      <c r="L42" s="103"/>
      <c r="M42" s="103"/>
      <c r="N42" s="103"/>
      <c r="O42" s="103"/>
      <c r="P42" s="103"/>
      <c r="Q42" s="103"/>
      <c r="R42" s="103"/>
      <c r="S42" s="103"/>
    </row>
  </sheetData>
  <sheetProtection algorithmName="SHA-512" hashValue="kZjVCH9dqhjjinQcR4/sAihQIQOLPw8FW8Ter3LD6vXarRAbfkkIZZmHLi0AjGe5T8aSkP21sdmE+aEF8UqyTQ==" saltValue="X9o+IsCVrzQhzF/YVyU2/w==" spinCount="100000" sheet="1" objects="1" scenarios="1"/>
  <sortState xmlns:xlrd2="http://schemas.microsoft.com/office/spreadsheetml/2017/richdata2" ref="C7:K18">
    <sortCondition ref="K7:K18"/>
  </sortState>
  <mergeCells count="19">
    <mergeCell ref="F38:G38"/>
    <mergeCell ref="E39:E40"/>
    <mergeCell ref="F39:G39"/>
    <mergeCell ref="F40:G40"/>
    <mergeCell ref="D2:F2"/>
    <mergeCell ref="E3:I3"/>
    <mergeCell ref="J3:K3"/>
    <mergeCell ref="P5:Q5"/>
    <mergeCell ref="B32:D34"/>
    <mergeCell ref="F32:G32"/>
    <mergeCell ref="H32:Q41"/>
    <mergeCell ref="F33:G33"/>
    <mergeCell ref="F34:G34"/>
    <mergeCell ref="B35:D41"/>
    <mergeCell ref="F41:G41"/>
    <mergeCell ref="E35:E36"/>
    <mergeCell ref="F35:G35"/>
    <mergeCell ref="F36:G36"/>
    <mergeCell ref="F37:G37"/>
  </mergeCells>
  <phoneticPr fontId="71"/>
  <dataValidations count="8">
    <dataValidation type="list" allowBlank="1" showInputMessage="1" showErrorMessage="1" sqref="D3" xr:uid="{00000000-0002-0000-0200-000000000000}">
      <formula1>レース番号</formula1>
    </dataValidation>
    <dataValidation type="list" allowBlank="1" showInputMessage="1" showErrorMessage="1" sqref="I6" xr:uid="{00000000-0002-0000-0200-000001000000}">
      <formula1>ＴＡ</formula1>
    </dataValidation>
    <dataValidation type="list" showInputMessage="1" showErrorMessage="1" sqref="E3" xr:uid="{00000000-0002-0000-0200-000002000000}">
      <formula1>レース名</formula1>
    </dataValidation>
    <dataValidation type="list" allowBlank="1" showInputMessage="1" showErrorMessage="1" sqref="N2" xr:uid="{00000000-0002-0000-0200-000003000000}">
      <formula1>コース</formula1>
    </dataValidation>
    <dataValidation type="list" allowBlank="1" showInputMessage="1" showErrorMessage="1" sqref="G2" xr:uid="{00000000-0002-0000-0200-000004000000}">
      <formula1>月</formula1>
    </dataValidation>
    <dataValidation type="list" allowBlank="1" showInputMessage="1" showErrorMessage="1" sqref="J3:K3" xr:uid="{00000000-0002-0000-0200-000005000000}">
      <formula1>暫定</formula1>
    </dataValidation>
    <dataValidation type="list" allowBlank="1" showInputMessage="1" showErrorMessage="1" sqref="Q2:R2" xr:uid="{00000000-0002-0000-0200-000006000000}">
      <formula1>時刻</formula1>
    </dataValidation>
    <dataValidation type="list" allowBlank="1" showInputMessage="1" showErrorMessage="1" sqref="P2 F37:G37" xr:uid="{00000000-0002-0000-0200-000007000000}">
      <formula1>開催日</formula1>
    </dataValidation>
  </dataValidations>
  <pageMargins left="0.31496062992125984" right="0" top="0.35433070866141736" bottom="0.19685039370078741" header="0" footer="0"/>
  <pageSetup paperSize="9" scale="97" orientation="landscape"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8000000}">
          <x14:formula1>
            <xm:f>参照ﾃﾞｰﾀ!$B$4:$B$17</xm:f>
          </x14:formula1>
          <xm:sqref>F38:G38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C42"/>
  <sheetViews>
    <sheetView zoomScale="70" zoomScaleNormal="70" workbookViewId="0">
      <selection activeCell="Z24" sqref="Z24"/>
    </sheetView>
  </sheetViews>
  <sheetFormatPr defaultColWidth="9" defaultRowHeight="13" x14ac:dyDescent="0.2"/>
  <cols>
    <col min="1" max="1" width="1.7265625" style="185" customWidth="1"/>
    <col min="2" max="2" width="5" style="185" customWidth="1"/>
    <col min="3" max="3" width="7" style="185" customWidth="1"/>
    <col min="4" max="4" width="18" style="185" customWidth="1"/>
    <col min="5" max="5" width="8.453125" style="185" hidden="1" customWidth="1"/>
    <col min="6" max="6" width="5" style="185" customWidth="1"/>
    <col min="7" max="7" width="10.90625" style="185" customWidth="1"/>
    <col min="8" max="8" width="8.36328125" style="185" customWidth="1"/>
    <col min="9" max="9" width="8.6328125" style="185" customWidth="1"/>
    <col min="10" max="10" width="5" style="185" customWidth="1"/>
    <col min="11" max="11" width="8.453125" style="185" customWidth="1"/>
    <col min="12" max="12" width="10.90625" style="185" customWidth="1"/>
    <col min="13" max="13" width="9.453125" style="185" customWidth="1"/>
    <col min="14" max="14" width="7.90625" style="185" customWidth="1"/>
    <col min="15" max="15" width="8" style="185" customWidth="1"/>
    <col min="16" max="16" width="12" style="185" bestFit="1" customWidth="1"/>
    <col min="17" max="17" width="11.6328125" style="185" customWidth="1"/>
    <col min="18" max="19" width="2.453125" style="185" customWidth="1"/>
    <col min="20" max="22" width="7.6328125" style="185" hidden="1" customWidth="1"/>
    <col min="23" max="23" width="8.26953125" style="185" customWidth="1"/>
    <col min="24" max="25" width="7.6328125" style="185" customWidth="1"/>
    <col min="26" max="26" width="4.453125" style="185" customWidth="1"/>
    <col min="27" max="29" width="8" style="185" customWidth="1"/>
    <col min="30" max="16384" width="9" style="185"/>
  </cols>
  <sheetData>
    <row r="1" spans="1:29" ht="9.75" customHeight="1" thickBot="1" x14ac:dyDescent="0.25">
      <c r="A1" s="103"/>
      <c r="B1" s="103"/>
      <c r="C1" s="103"/>
      <c r="D1" s="103"/>
      <c r="E1" s="103"/>
      <c r="F1" s="103"/>
      <c r="G1" s="103"/>
      <c r="H1" s="103"/>
      <c r="I1" s="103"/>
      <c r="J1" s="103"/>
      <c r="K1" s="103"/>
      <c r="L1" s="103"/>
      <c r="M1" s="103"/>
      <c r="N1" s="103"/>
      <c r="O1" s="103"/>
      <c r="P1" s="103"/>
      <c r="Q1" s="103"/>
      <c r="R1" s="103"/>
      <c r="S1" s="103"/>
    </row>
    <row r="2" spans="1:29" ht="21" x14ac:dyDescent="0.3">
      <c r="A2" s="103"/>
      <c r="B2" s="94"/>
      <c r="C2" s="95"/>
      <c r="D2" s="575" t="str">
        <f>参照ﾃﾞｰﾀ!F4</f>
        <v>2025年</v>
      </c>
      <c r="E2" s="575"/>
      <c r="F2" s="575"/>
      <c r="G2" s="96" t="s">
        <v>172</v>
      </c>
      <c r="H2" s="97"/>
      <c r="I2" s="98"/>
      <c r="J2" s="94"/>
      <c r="K2" s="99"/>
      <c r="L2" s="94"/>
      <c r="M2" s="100" t="s">
        <v>40</v>
      </c>
      <c r="N2" s="101" t="s">
        <v>210</v>
      </c>
      <c r="O2" s="102" t="s">
        <v>42</v>
      </c>
      <c r="P2" s="230">
        <v>45949</v>
      </c>
      <c r="Q2" s="231">
        <v>0.4375</v>
      </c>
      <c r="R2" s="94"/>
      <c r="S2" s="94"/>
      <c r="T2" s="187" t="s">
        <v>2</v>
      </c>
      <c r="U2" s="186"/>
      <c r="V2" s="186"/>
      <c r="W2" s="187" t="str">
        <f>参照ＴＡ!Z3</f>
        <v>2025年</v>
      </c>
      <c r="X2" s="187" t="str">
        <f>参照ＴＡ!AB3</f>
        <v>10月</v>
      </c>
      <c r="Y2" s="186"/>
      <c r="Z2" s="186"/>
    </row>
    <row r="3" spans="1:29" ht="21.75" customHeight="1" thickBot="1" x14ac:dyDescent="0.35">
      <c r="A3" s="103"/>
      <c r="B3" s="94"/>
      <c r="C3" s="103"/>
      <c r="D3" s="104" t="s">
        <v>272</v>
      </c>
      <c r="E3" s="615" t="s">
        <v>52</v>
      </c>
      <c r="F3" s="615"/>
      <c r="G3" s="615"/>
      <c r="H3" s="615"/>
      <c r="I3" s="615"/>
      <c r="J3" s="577" t="s">
        <v>72</v>
      </c>
      <c r="K3" s="577"/>
      <c r="L3" s="94"/>
      <c r="M3" s="105" t="s">
        <v>63</v>
      </c>
      <c r="N3" s="106">
        <f>IF(ISBLANK(N2),"",VLOOKUP(N2,コース・距離,2,FALSE))</f>
        <v>17.3</v>
      </c>
      <c r="O3" s="107" t="s">
        <v>0</v>
      </c>
      <c r="P3" s="108">
        <v>15</v>
      </c>
      <c r="Q3" s="109" t="s">
        <v>1</v>
      </c>
      <c r="R3" s="94"/>
      <c r="S3" s="94"/>
      <c r="T3" s="186" t="s">
        <v>193</v>
      </c>
      <c r="U3" s="186"/>
      <c r="V3" s="186"/>
      <c r="W3" s="187" t="s">
        <v>2</v>
      </c>
      <c r="X3" s="186"/>
      <c r="Y3" s="186"/>
      <c r="Z3" s="186"/>
      <c r="AA3" s="188" t="s">
        <v>64</v>
      </c>
    </row>
    <row r="4" spans="1:29" ht="7.5" customHeight="1" thickBot="1" x14ac:dyDescent="0.3">
      <c r="A4" s="103"/>
      <c r="B4" s="94"/>
      <c r="C4" s="94"/>
      <c r="D4" s="94"/>
      <c r="E4" s="94"/>
      <c r="F4" s="94"/>
      <c r="G4" s="94"/>
      <c r="H4" s="94"/>
      <c r="I4" s="94"/>
      <c r="J4" s="94"/>
      <c r="K4" s="94"/>
      <c r="L4" s="94"/>
      <c r="M4" s="94"/>
      <c r="N4" s="94"/>
      <c r="O4" s="94"/>
      <c r="P4" s="94"/>
      <c r="Q4" s="94"/>
      <c r="R4" s="94"/>
      <c r="S4" s="94"/>
      <c r="T4" s="186"/>
      <c r="U4" s="186"/>
      <c r="V4" s="186"/>
      <c r="W4" s="189"/>
      <c r="X4" s="186"/>
      <c r="Y4" s="186"/>
      <c r="Z4" s="186"/>
    </row>
    <row r="5" spans="1:29" ht="14" x14ac:dyDescent="0.2">
      <c r="A5" s="103"/>
      <c r="B5" s="110" t="s">
        <v>3</v>
      </c>
      <c r="C5" s="111" t="s">
        <v>4</v>
      </c>
      <c r="D5" s="111" t="s">
        <v>5</v>
      </c>
      <c r="E5" s="111" t="s">
        <v>6</v>
      </c>
      <c r="F5" s="111" t="s">
        <v>7</v>
      </c>
      <c r="G5" s="111" t="s">
        <v>8</v>
      </c>
      <c r="H5" s="111" t="s">
        <v>9</v>
      </c>
      <c r="I5" s="111" t="s">
        <v>10</v>
      </c>
      <c r="J5" s="111" t="s">
        <v>11</v>
      </c>
      <c r="K5" s="111" t="s">
        <v>12</v>
      </c>
      <c r="L5" s="112" t="s">
        <v>205</v>
      </c>
      <c r="M5" s="112" t="s">
        <v>202</v>
      </c>
      <c r="N5" s="111" t="s">
        <v>59</v>
      </c>
      <c r="O5" s="111" t="s">
        <v>13</v>
      </c>
      <c r="P5" s="578" t="s">
        <v>58</v>
      </c>
      <c r="Q5" s="579"/>
      <c r="R5" s="183"/>
      <c r="S5" s="183"/>
      <c r="T5" s="192" t="s">
        <v>10</v>
      </c>
      <c r="U5" s="190" t="s">
        <v>10</v>
      </c>
      <c r="V5" s="423" t="s">
        <v>10</v>
      </c>
      <c r="W5" s="192" t="s">
        <v>10</v>
      </c>
      <c r="X5" s="190" t="s">
        <v>10</v>
      </c>
      <c r="Y5" s="193" t="s">
        <v>10</v>
      </c>
      <c r="Z5" s="191"/>
      <c r="AA5" s="192" t="s">
        <v>13</v>
      </c>
      <c r="AB5" s="190" t="s">
        <v>13</v>
      </c>
      <c r="AC5" s="193" t="s">
        <v>13</v>
      </c>
    </row>
    <row r="6" spans="1:29" ht="14" x14ac:dyDescent="0.2">
      <c r="A6" s="103"/>
      <c r="B6" s="113"/>
      <c r="C6" s="114" t="s">
        <v>14</v>
      </c>
      <c r="D6" s="115"/>
      <c r="E6" s="116" t="s">
        <v>15</v>
      </c>
      <c r="F6" s="116"/>
      <c r="G6" s="114" t="s">
        <v>16</v>
      </c>
      <c r="H6" s="116" t="s">
        <v>17</v>
      </c>
      <c r="I6" s="114" t="s">
        <v>191</v>
      </c>
      <c r="J6" s="116" t="s">
        <v>18</v>
      </c>
      <c r="K6" s="116" t="s">
        <v>17</v>
      </c>
      <c r="L6" s="114" t="s">
        <v>16</v>
      </c>
      <c r="M6" s="116" t="s">
        <v>34</v>
      </c>
      <c r="N6" s="116" t="s">
        <v>19</v>
      </c>
      <c r="O6" s="117" t="str">
        <f>"MAX=20"</f>
        <v>MAX=20</v>
      </c>
      <c r="P6" s="118"/>
      <c r="Q6" s="119"/>
      <c r="R6" s="184"/>
      <c r="S6" s="184"/>
      <c r="T6" s="196" t="s">
        <v>20</v>
      </c>
      <c r="U6" s="194" t="s">
        <v>22</v>
      </c>
      <c r="V6" s="424" t="s">
        <v>21</v>
      </c>
      <c r="W6" s="196" t="s">
        <v>20</v>
      </c>
      <c r="X6" s="194" t="s">
        <v>22</v>
      </c>
      <c r="Y6" s="197" t="s">
        <v>21</v>
      </c>
      <c r="Z6" s="195"/>
      <c r="AA6" s="196" t="s">
        <v>66</v>
      </c>
      <c r="AB6" s="194" t="s">
        <v>67</v>
      </c>
      <c r="AC6" s="197" t="s">
        <v>68</v>
      </c>
    </row>
    <row r="7" spans="1:29" ht="14" x14ac:dyDescent="0.2">
      <c r="A7" s="103"/>
      <c r="B7" s="120">
        <v>1</v>
      </c>
      <c r="C7" s="121">
        <v>150</v>
      </c>
      <c r="D7" s="122" t="str">
        <f t="shared" ref="D7:D21" si="0">IF(ISBLANK(C7),"",VLOOKUP(C7,第4月ＴＡ,2,FALSE))</f>
        <v>SHARK X</v>
      </c>
      <c r="E7" s="215" t="e">
        <f t="shared" ref="E7:E21" si="1">IF($I$6="Ⅰ",T7,IF($I$6="Ⅱ",U7,IF($I$6="Ⅲ",V7,"")))</f>
        <v>#REF!</v>
      </c>
      <c r="F7" s="123">
        <v>2</v>
      </c>
      <c r="G7" s="124">
        <v>0.5589467592592593</v>
      </c>
      <c r="H7" s="121">
        <v>10493.000000000004</v>
      </c>
      <c r="I7" s="125">
        <v>572.35887500000001</v>
      </c>
      <c r="J7" s="123"/>
      <c r="K7" s="126">
        <v>591.19146250000267</v>
      </c>
      <c r="L7" s="124">
        <v>0</v>
      </c>
      <c r="M7" s="127">
        <v>0</v>
      </c>
      <c r="N7" s="128">
        <v>5.9353854950919649</v>
      </c>
      <c r="O7" s="129">
        <v>20</v>
      </c>
      <c r="P7" s="220"/>
      <c r="Q7" s="130"/>
      <c r="R7" s="183"/>
      <c r="S7" s="183"/>
      <c r="T7" s="199" t="e">
        <f t="shared" ref="T7:T31" si="2">IF(ISBLANK(C7),"",VLOOKUP(C7,各艇データ,3,FALSE))</f>
        <v>#REF!</v>
      </c>
      <c r="U7" s="200" t="e">
        <f t="shared" ref="U7:U31" si="3">IF(ISBLANK(C7),"",VLOOKUP(C7,各艇データ,4,FALSE))</f>
        <v>#REF!</v>
      </c>
      <c r="V7" s="425" t="e">
        <f t="shared" ref="V7:V31" si="4">IF(ISBLANK(C7),"",VLOOKUP(C7,各艇データ,5,FALSE))</f>
        <v>#REF!</v>
      </c>
      <c r="W7" s="417">
        <f t="shared" ref="W7:W31" si="5">IF(ISBLANK(C7),"",VLOOKUP(C7,第4月ＴＡ,3,FALSE))</f>
        <v>845.69100000000003</v>
      </c>
      <c r="X7" s="418">
        <f t="shared" ref="X7:X31" si="6">IF(ISBLANK(C7),"",VLOOKUP(C7,第4月ＴＡ,4,FALSE))</f>
        <v>572.35887500000001</v>
      </c>
      <c r="Y7" s="202">
        <f t="shared" ref="Y7:Y31" si="7">IF(ISBLANK(C7),"",VLOOKUP(C7,第4月ＴＡ,5,FALSE))</f>
        <v>520.98749999999995</v>
      </c>
      <c r="Z7" s="191"/>
      <c r="AA7" s="203">
        <f>IF(ISBLANK(B7),"",IFERROR(20*($P$3+1-$B7)/$P$3,"20.0"))</f>
        <v>20</v>
      </c>
      <c r="AB7" s="198">
        <f>IF(ISBLANK(B7),"",IFERROR(30*($P$3+1-$B7)/$P$3,"30.0"))</f>
        <v>30</v>
      </c>
      <c r="AC7" s="204">
        <f>IF(ISBLANK(B7),"",IFERROR(30*($P$3-$B7)/($P$3-1)+10,"20.0"))</f>
        <v>40</v>
      </c>
    </row>
    <row r="8" spans="1:29" ht="14" x14ac:dyDescent="0.2">
      <c r="A8" s="103"/>
      <c r="B8" s="131">
        <v>2</v>
      </c>
      <c r="C8" s="132">
        <v>6732</v>
      </c>
      <c r="D8" s="133" t="str">
        <f t="shared" si="0"/>
        <v>アイデアル</v>
      </c>
      <c r="E8" s="216" t="e">
        <f t="shared" si="1"/>
        <v>#REF!</v>
      </c>
      <c r="F8" s="134">
        <v>3</v>
      </c>
      <c r="G8" s="135">
        <v>0.55950231481481483</v>
      </c>
      <c r="H8" s="132">
        <v>10541.000000000002</v>
      </c>
      <c r="I8" s="136">
        <v>571.993913255998</v>
      </c>
      <c r="J8" s="134"/>
      <c r="K8" s="137">
        <v>645.50530067123691</v>
      </c>
      <c r="L8" s="135">
        <v>6.2863238624113701E-4</v>
      </c>
      <c r="M8" s="138">
        <v>3.139528217990418</v>
      </c>
      <c r="N8" s="139">
        <v>5.9083578408120667</v>
      </c>
      <c r="O8" s="140">
        <v>18.7</v>
      </c>
      <c r="P8" s="141"/>
      <c r="Q8" s="142"/>
      <c r="R8" s="183"/>
      <c r="S8" s="183"/>
      <c r="T8" s="199" t="e">
        <f t="shared" si="2"/>
        <v>#REF!</v>
      </c>
      <c r="U8" s="200" t="e">
        <f t="shared" si="3"/>
        <v>#REF!</v>
      </c>
      <c r="V8" s="425" t="e">
        <f t="shared" si="4"/>
        <v>#REF!</v>
      </c>
      <c r="W8" s="417">
        <f t="shared" si="5"/>
        <v>855.39381721722395</v>
      </c>
      <c r="X8" s="418">
        <f t="shared" si="6"/>
        <v>571.993913255998</v>
      </c>
      <c r="Y8" s="202">
        <f t="shared" si="7"/>
        <v>520.62384764970795</v>
      </c>
      <c r="Z8" s="191"/>
      <c r="AA8" s="203">
        <f t="shared" ref="AA8:AA31" si="8">IF(ISBLANK(B8),"",IFERROR(20*($P$3+1-$B8)/$P$3,"20.0"))</f>
        <v>18.666666666666668</v>
      </c>
      <c r="AB8" s="198">
        <f t="shared" ref="AB8:AB31" si="9">IF(ISBLANK(B8),"",IFERROR(30*($P$3+1-$B8)/$P$3,"30.0"))</f>
        <v>28</v>
      </c>
      <c r="AC8" s="204">
        <f t="shared" ref="AC8:AC31" si="10">IF(ISBLANK(B8),"",IFERROR(30*($P$3-$B8)/($P$3-1)+10,"20.0"))</f>
        <v>37.857142857142861</v>
      </c>
    </row>
    <row r="9" spans="1:29" ht="14" x14ac:dyDescent="0.2">
      <c r="A9" s="103"/>
      <c r="B9" s="131">
        <v>3</v>
      </c>
      <c r="C9" s="132">
        <v>321</v>
      </c>
      <c r="D9" s="133" t="str">
        <f t="shared" si="0"/>
        <v>かまくら</v>
      </c>
      <c r="E9" s="216" t="e">
        <f t="shared" si="1"/>
        <v>#REF!</v>
      </c>
      <c r="F9" s="134">
        <v>5</v>
      </c>
      <c r="G9" s="135">
        <v>0.56106481481481485</v>
      </c>
      <c r="H9" s="132">
        <v>10676.000000000004</v>
      </c>
      <c r="I9" s="136">
        <v>566.375</v>
      </c>
      <c r="J9" s="134"/>
      <c r="K9" s="137">
        <v>877.71250000000327</v>
      </c>
      <c r="L9" s="135">
        <v>3.3162157118055624E-3</v>
      </c>
      <c r="M9" s="138">
        <v>16.561909682080959</v>
      </c>
      <c r="N9" s="139">
        <v>5.8336455601348804</v>
      </c>
      <c r="O9" s="140">
        <v>17.3</v>
      </c>
      <c r="P9" s="141"/>
      <c r="Q9" s="142"/>
      <c r="R9" s="183"/>
      <c r="S9" s="183"/>
      <c r="T9" s="199" t="e">
        <f t="shared" si="2"/>
        <v>#REF!</v>
      </c>
      <c r="U9" s="200" t="e">
        <f t="shared" si="3"/>
        <v>#REF!</v>
      </c>
      <c r="V9" s="425" t="e">
        <f t="shared" si="4"/>
        <v>#REF!</v>
      </c>
      <c r="W9" s="417">
        <f t="shared" si="5"/>
        <v>845.65</v>
      </c>
      <c r="X9" s="418">
        <f t="shared" si="6"/>
        <v>566.375</v>
      </c>
      <c r="Y9" s="202">
        <f t="shared" si="7"/>
        <v>508.7</v>
      </c>
      <c r="Z9" s="191"/>
      <c r="AA9" s="203">
        <f t="shared" si="8"/>
        <v>17.333333333333332</v>
      </c>
      <c r="AB9" s="198">
        <f t="shared" si="9"/>
        <v>26</v>
      </c>
      <c r="AC9" s="204">
        <f t="shared" si="10"/>
        <v>35.714285714285715</v>
      </c>
    </row>
    <row r="10" spans="1:29" ht="14" x14ac:dyDescent="0.2">
      <c r="A10" s="103"/>
      <c r="B10" s="131">
        <v>4</v>
      </c>
      <c r="C10" s="132">
        <v>6269</v>
      </c>
      <c r="D10" s="133" t="str">
        <f t="shared" si="0"/>
        <v>VITTORIA</v>
      </c>
      <c r="E10" s="216" t="e">
        <f t="shared" si="1"/>
        <v>#REF!</v>
      </c>
      <c r="F10" s="134">
        <v>1</v>
      </c>
      <c r="G10" s="135">
        <v>0.5567361111111111</v>
      </c>
      <c r="H10" s="132">
        <v>10301.999999999998</v>
      </c>
      <c r="I10" s="136">
        <v>542.56262500000003</v>
      </c>
      <c r="J10" s="134"/>
      <c r="K10" s="137">
        <v>915.66658749999806</v>
      </c>
      <c r="L10" s="135">
        <v>3.755499131944391E-3</v>
      </c>
      <c r="M10" s="138">
        <v>18.755787572254068</v>
      </c>
      <c r="N10" s="139">
        <v>6.0454280722189875</v>
      </c>
      <c r="O10" s="140">
        <v>16</v>
      </c>
      <c r="P10" s="208"/>
      <c r="Q10" s="142"/>
      <c r="R10" s="183"/>
      <c r="S10" s="183"/>
      <c r="T10" s="199" t="e">
        <f t="shared" si="2"/>
        <v>#REF!</v>
      </c>
      <c r="U10" s="200" t="e">
        <f t="shared" si="3"/>
        <v>#REF!</v>
      </c>
      <c r="V10" s="425" t="e">
        <f t="shared" si="4"/>
        <v>#REF!</v>
      </c>
      <c r="W10" s="417">
        <f t="shared" si="5"/>
        <v>798.60199999999998</v>
      </c>
      <c r="X10" s="418">
        <f t="shared" si="6"/>
        <v>542.56262500000003</v>
      </c>
      <c r="Y10" s="202">
        <f t="shared" si="7"/>
        <v>492.52499999999998</v>
      </c>
      <c r="Z10" s="191"/>
      <c r="AA10" s="203">
        <f t="shared" si="8"/>
        <v>16</v>
      </c>
      <c r="AB10" s="198">
        <f t="shared" si="9"/>
        <v>24</v>
      </c>
      <c r="AC10" s="204">
        <f t="shared" si="10"/>
        <v>33.571428571428569</v>
      </c>
    </row>
    <row r="11" spans="1:29" ht="14" x14ac:dyDescent="0.2">
      <c r="A11" s="103"/>
      <c r="B11" s="143">
        <v>5</v>
      </c>
      <c r="C11" s="144">
        <v>312</v>
      </c>
      <c r="D11" s="145" t="str">
        <f t="shared" si="0"/>
        <v>はやとり</v>
      </c>
      <c r="E11" s="217" t="e">
        <f t="shared" si="1"/>
        <v>#REF!</v>
      </c>
      <c r="F11" s="146">
        <v>8</v>
      </c>
      <c r="G11" s="147">
        <v>0.56759259259259254</v>
      </c>
      <c r="H11" s="148">
        <v>11239.999999999995</v>
      </c>
      <c r="I11" s="149">
        <v>594.27499999999998</v>
      </c>
      <c r="J11" s="150"/>
      <c r="K11" s="151">
        <v>959.04249999999411</v>
      </c>
      <c r="L11" s="152">
        <v>4.2575351562499008E-3</v>
      </c>
      <c r="M11" s="153">
        <v>21.263065751444589</v>
      </c>
      <c r="N11" s="154">
        <v>5.5409252669039173</v>
      </c>
      <c r="O11" s="155">
        <v>14.7</v>
      </c>
      <c r="P11" s="156"/>
      <c r="Q11" s="157"/>
      <c r="R11" s="183"/>
      <c r="S11" s="183"/>
      <c r="T11" s="199" t="e">
        <f t="shared" si="2"/>
        <v>#REF!</v>
      </c>
      <c r="U11" s="200" t="e">
        <f t="shared" si="3"/>
        <v>#REF!</v>
      </c>
      <c r="V11" s="425" t="e">
        <f t="shared" si="4"/>
        <v>#REF!</v>
      </c>
      <c r="W11" s="417">
        <f t="shared" si="5"/>
        <v>895.25</v>
      </c>
      <c r="X11" s="418">
        <f t="shared" si="6"/>
        <v>594.27499999999998</v>
      </c>
      <c r="Y11" s="202">
        <f t="shared" si="7"/>
        <v>540.29999999999995</v>
      </c>
      <c r="Z11" s="191"/>
      <c r="AA11" s="203">
        <f t="shared" si="8"/>
        <v>14.666666666666666</v>
      </c>
      <c r="AB11" s="198">
        <f t="shared" si="9"/>
        <v>22</v>
      </c>
      <c r="AC11" s="204">
        <f t="shared" si="10"/>
        <v>31.428571428571427</v>
      </c>
    </row>
    <row r="12" spans="1:29" ht="14" x14ac:dyDescent="0.2">
      <c r="A12" s="103"/>
      <c r="B12" s="120">
        <v>6</v>
      </c>
      <c r="C12" s="121">
        <v>380</v>
      </c>
      <c r="D12" s="177" t="str">
        <f t="shared" si="0"/>
        <v>テティス</v>
      </c>
      <c r="E12" s="215" t="e">
        <f t="shared" si="1"/>
        <v>#REF!</v>
      </c>
      <c r="F12" s="123">
        <v>4</v>
      </c>
      <c r="G12" s="124">
        <v>0.56059027777777781</v>
      </c>
      <c r="H12" s="121">
        <v>10635.000000000004</v>
      </c>
      <c r="I12" s="125">
        <v>557.82500000000005</v>
      </c>
      <c r="J12" s="123"/>
      <c r="K12" s="126">
        <v>984.62750000000233</v>
      </c>
      <c r="L12" s="124">
        <v>4.5536578414351811E-3</v>
      </c>
      <c r="M12" s="127">
        <v>22.741967485549111</v>
      </c>
      <c r="N12" s="128">
        <v>5.856135401974611</v>
      </c>
      <c r="O12" s="129">
        <v>13.3</v>
      </c>
      <c r="P12" s="103"/>
      <c r="Q12" s="130"/>
      <c r="R12" s="183"/>
      <c r="S12" s="183"/>
      <c r="T12" s="199" t="e">
        <f t="shared" si="2"/>
        <v>#REF!</v>
      </c>
      <c r="U12" s="200" t="e">
        <f t="shared" si="3"/>
        <v>#REF!</v>
      </c>
      <c r="V12" s="425" t="e">
        <f t="shared" si="4"/>
        <v>#REF!</v>
      </c>
      <c r="W12" s="417">
        <f t="shared" si="5"/>
        <v>837</v>
      </c>
      <c r="X12" s="418">
        <f t="shared" si="6"/>
        <v>557.82500000000005</v>
      </c>
      <c r="Y12" s="202">
        <f t="shared" si="7"/>
        <v>507</v>
      </c>
      <c r="Z12" s="191"/>
      <c r="AA12" s="203">
        <f t="shared" si="8"/>
        <v>13.333333333333334</v>
      </c>
      <c r="AB12" s="198">
        <f t="shared" si="9"/>
        <v>20</v>
      </c>
      <c r="AC12" s="204">
        <f t="shared" si="10"/>
        <v>29.285714285714285</v>
      </c>
    </row>
    <row r="13" spans="1:29" ht="14" x14ac:dyDescent="0.2">
      <c r="A13" s="103"/>
      <c r="B13" s="131">
        <v>7</v>
      </c>
      <c r="C13" s="132">
        <v>2759</v>
      </c>
      <c r="D13" s="133" t="str">
        <f t="shared" si="0"/>
        <v>IXORA Ⅳ</v>
      </c>
      <c r="E13" s="216" t="e">
        <f t="shared" si="1"/>
        <v>#REF!</v>
      </c>
      <c r="F13" s="134">
        <v>6</v>
      </c>
      <c r="G13" s="135">
        <v>0.56319444444444444</v>
      </c>
      <c r="H13" s="132">
        <v>10860</v>
      </c>
      <c r="I13" s="136">
        <v>565.70000000000005</v>
      </c>
      <c r="J13" s="134"/>
      <c r="K13" s="137">
        <v>1073.3899999999994</v>
      </c>
      <c r="L13" s="135">
        <v>5.5810015914351477E-3</v>
      </c>
      <c r="M13" s="138">
        <v>27.872747832369754</v>
      </c>
      <c r="N13" s="139">
        <v>5.7348066298342548</v>
      </c>
      <c r="O13" s="140">
        <v>12</v>
      </c>
      <c r="P13" s="174"/>
      <c r="Q13" s="142"/>
      <c r="R13" s="183"/>
      <c r="S13" s="183"/>
      <c r="T13" s="199" t="e">
        <f t="shared" si="2"/>
        <v>#REF!</v>
      </c>
      <c r="U13" s="200" t="e">
        <f t="shared" si="3"/>
        <v>#REF!</v>
      </c>
      <c r="V13" s="425" t="e">
        <f t="shared" si="4"/>
        <v>#REF!</v>
      </c>
      <c r="W13" s="417">
        <f t="shared" si="5"/>
        <v>831.15</v>
      </c>
      <c r="X13" s="418">
        <f t="shared" si="6"/>
        <v>565.70000000000005</v>
      </c>
      <c r="Y13" s="202">
        <f t="shared" si="7"/>
        <v>508.8</v>
      </c>
      <c r="Z13" s="191"/>
      <c r="AA13" s="203">
        <f t="shared" si="8"/>
        <v>12</v>
      </c>
      <c r="AB13" s="198">
        <f t="shared" si="9"/>
        <v>18</v>
      </c>
      <c r="AC13" s="204">
        <f t="shared" si="10"/>
        <v>27.142857142857142</v>
      </c>
    </row>
    <row r="14" spans="1:29" ht="14" x14ac:dyDescent="0.2">
      <c r="A14" s="103"/>
      <c r="B14" s="131">
        <v>8</v>
      </c>
      <c r="C14" s="132">
        <v>1611</v>
      </c>
      <c r="D14" s="133" t="str">
        <f t="shared" si="0"/>
        <v>ﾈﾌﾟﾁｭｰﾝXⅡ</v>
      </c>
      <c r="E14" s="216" t="e">
        <f t="shared" si="1"/>
        <v>#REF!</v>
      </c>
      <c r="F14" s="353">
        <v>11</v>
      </c>
      <c r="G14" s="135">
        <v>0.57082175925925926</v>
      </c>
      <c r="H14" s="132">
        <v>11519</v>
      </c>
      <c r="I14" s="136">
        <v>594.45000000000005</v>
      </c>
      <c r="J14" s="134"/>
      <c r="K14" s="137">
        <v>1235.0149999999994</v>
      </c>
      <c r="L14" s="135">
        <v>7.4516613136573701E-3</v>
      </c>
      <c r="M14" s="138">
        <v>37.215233381502699</v>
      </c>
      <c r="N14" s="139">
        <v>5.4067193332754577</v>
      </c>
      <c r="O14" s="140">
        <v>10.7</v>
      </c>
      <c r="P14" s="141"/>
      <c r="Q14" s="142"/>
      <c r="R14" s="183"/>
      <c r="S14" s="183"/>
      <c r="T14" s="199" t="e">
        <f t="shared" si="2"/>
        <v>#REF!</v>
      </c>
      <c r="U14" s="200" t="e">
        <f t="shared" si="3"/>
        <v>#REF!</v>
      </c>
      <c r="V14" s="425" t="e">
        <f t="shared" si="4"/>
        <v>#REF!</v>
      </c>
      <c r="W14" s="417">
        <f t="shared" si="5"/>
        <v>921.65</v>
      </c>
      <c r="X14" s="418">
        <f t="shared" si="6"/>
        <v>594.45000000000005</v>
      </c>
      <c r="Y14" s="202">
        <f t="shared" si="7"/>
        <v>540.29999999999995</v>
      </c>
      <c r="Z14" s="191"/>
      <c r="AA14" s="203">
        <f t="shared" si="8"/>
        <v>10.666666666666666</v>
      </c>
      <c r="AB14" s="198">
        <f t="shared" si="9"/>
        <v>16</v>
      </c>
      <c r="AC14" s="204">
        <f t="shared" si="10"/>
        <v>25</v>
      </c>
    </row>
    <row r="15" spans="1:29" ht="14" x14ac:dyDescent="0.2">
      <c r="A15" s="103"/>
      <c r="B15" s="131">
        <v>9</v>
      </c>
      <c r="C15" s="132">
        <v>1733</v>
      </c>
      <c r="D15" s="133" t="str">
        <f t="shared" si="0"/>
        <v>ケロニア</v>
      </c>
      <c r="E15" s="216" t="e">
        <f t="shared" si="1"/>
        <v>#REF!</v>
      </c>
      <c r="F15" s="134">
        <v>7</v>
      </c>
      <c r="G15" s="135">
        <v>0.56413194444444448</v>
      </c>
      <c r="H15" s="132">
        <v>10941.000000000004</v>
      </c>
      <c r="I15" s="136">
        <v>559.9</v>
      </c>
      <c r="J15" s="134"/>
      <c r="K15" s="137">
        <v>1254.7300000000032</v>
      </c>
      <c r="L15" s="135">
        <v>7.6798441840277842E-3</v>
      </c>
      <c r="M15" s="138">
        <v>38.354828757225462</v>
      </c>
      <c r="N15" s="139">
        <v>5.692349876610912</v>
      </c>
      <c r="O15" s="140">
        <v>9.3000000000000007</v>
      </c>
      <c r="P15" s="174"/>
      <c r="Q15" s="142"/>
      <c r="R15" s="183"/>
      <c r="S15" s="183"/>
      <c r="T15" s="199" t="e">
        <f t="shared" ref="T15:T17" si="11">IF(ISBLANK(C15),"",VLOOKUP(C15,各艇データ,3,FALSE))</f>
        <v>#REF!</v>
      </c>
      <c r="U15" s="200" t="e">
        <f t="shared" ref="U15:U17" si="12">IF(ISBLANK(C15),"",VLOOKUP(C15,各艇データ,4,FALSE))</f>
        <v>#REF!</v>
      </c>
      <c r="V15" s="425" t="e">
        <f t="shared" ref="V15:V17" si="13">IF(ISBLANK(C15),"",VLOOKUP(C15,各艇データ,5,FALSE))</f>
        <v>#REF!</v>
      </c>
      <c r="W15" s="417">
        <f t="shared" si="5"/>
        <v>852.05</v>
      </c>
      <c r="X15" s="418">
        <f t="shared" si="6"/>
        <v>559.9</v>
      </c>
      <c r="Y15" s="202">
        <f t="shared" si="7"/>
        <v>501.85</v>
      </c>
      <c r="Z15" s="328"/>
      <c r="AA15" s="203">
        <f t="shared" si="8"/>
        <v>9.3333333333333339</v>
      </c>
      <c r="AB15" s="198">
        <f t="shared" si="9"/>
        <v>14</v>
      </c>
      <c r="AC15" s="204">
        <f t="shared" si="10"/>
        <v>22.857142857142858</v>
      </c>
    </row>
    <row r="16" spans="1:29" ht="14" x14ac:dyDescent="0.2">
      <c r="A16" s="103"/>
      <c r="B16" s="143">
        <v>10</v>
      </c>
      <c r="C16" s="144">
        <v>6766</v>
      </c>
      <c r="D16" s="145" t="str">
        <f t="shared" si="0"/>
        <v>くろしお</v>
      </c>
      <c r="E16" s="217" t="e">
        <f t="shared" si="1"/>
        <v>#REF!</v>
      </c>
      <c r="F16" s="354">
        <v>12</v>
      </c>
      <c r="G16" s="147">
        <v>0.57136574074074076</v>
      </c>
      <c r="H16" s="144">
        <v>11566.000000000002</v>
      </c>
      <c r="I16" s="158">
        <v>580.28401809445302</v>
      </c>
      <c r="J16" s="146"/>
      <c r="K16" s="160">
        <v>1527.0864869659636</v>
      </c>
      <c r="L16" s="147">
        <v>1.0832118338726399E-2</v>
      </c>
      <c r="M16" s="161">
        <v>54.097978292830106</v>
      </c>
      <c r="N16" s="162">
        <v>5.3847484004841775</v>
      </c>
      <c r="O16" s="163">
        <v>8</v>
      </c>
      <c r="P16" s="210"/>
      <c r="Q16" s="157"/>
      <c r="R16" s="183"/>
      <c r="S16" s="183"/>
      <c r="T16" s="199" t="e">
        <f t="shared" si="11"/>
        <v>#REF!</v>
      </c>
      <c r="U16" s="200" t="e">
        <f t="shared" si="12"/>
        <v>#REF!</v>
      </c>
      <c r="V16" s="425" t="e">
        <f t="shared" si="13"/>
        <v>#REF!</v>
      </c>
      <c r="W16" s="417">
        <f t="shared" si="5"/>
        <v>861.33196885072402</v>
      </c>
      <c r="X16" s="418">
        <f t="shared" si="6"/>
        <v>580.28401809445302</v>
      </c>
      <c r="Y16" s="202">
        <f t="shared" si="7"/>
        <v>522.82691186688703</v>
      </c>
      <c r="Z16" s="191"/>
      <c r="AA16" s="203">
        <f t="shared" si="8"/>
        <v>8</v>
      </c>
      <c r="AB16" s="198">
        <f t="shared" si="9"/>
        <v>12</v>
      </c>
      <c r="AC16" s="204">
        <f t="shared" si="10"/>
        <v>20.714285714285715</v>
      </c>
    </row>
    <row r="17" spans="1:29" ht="14" x14ac:dyDescent="0.2">
      <c r="A17" s="103"/>
      <c r="B17" s="120">
        <v>11</v>
      </c>
      <c r="C17" s="121">
        <v>5496</v>
      </c>
      <c r="D17" s="177" t="str">
        <f t="shared" si="0"/>
        <v>桜工</v>
      </c>
      <c r="E17" s="349" t="e">
        <f t="shared" si="1"/>
        <v>#REF!</v>
      </c>
      <c r="F17" s="123">
        <v>10</v>
      </c>
      <c r="G17" s="124">
        <v>0.57062500000000005</v>
      </c>
      <c r="H17" s="164">
        <v>11502.000000000004</v>
      </c>
      <c r="I17" s="165">
        <v>575.9</v>
      </c>
      <c r="J17" s="166"/>
      <c r="K17" s="167">
        <v>1538.9300000000039</v>
      </c>
      <c r="L17" s="168">
        <v>1.0969196035879644E-2</v>
      </c>
      <c r="M17" s="169">
        <v>54.782574421965386</v>
      </c>
      <c r="N17" s="170">
        <v>5.4147104851330186</v>
      </c>
      <c r="O17" s="129">
        <v>6.7</v>
      </c>
      <c r="P17" s="214"/>
      <c r="Q17" s="130"/>
      <c r="R17" s="183"/>
      <c r="S17" s="183"/>
      <c r="T17" s="199" t="e">
        <f t="shared" si="11"/>
        <v>#REF!</v>
      </c>
      <c r="U17" s="200" t="e">
        <f t="shared" si="12"/>
        <v>#REF!</v>
      </c>
      <c r="V17" s="425" t="e">
        <f t="shared" si="13"/>
        <v>#REF!</v>
      </c>
      <c r="W17" s="417">
        <f t="shared" si="5"/>
        <v>868</v>
      </c>
      <c r="X17" s="418">
        <f t="shared" si="6"/>
        <v>575.9</v>
      </c>
      <c r="Y17" s="202">
        <f t="shared" si="7"/>
        <v>515.75</v>
      </c>
      <c r="Z17" s="191"/>
      <c r="AA17" s="203">
        <f t="shared" si="8"/>
        <v>6.666666666666667</v>
      </c>
      <c r="AB17" s="198">
        <f t="shared" si="9"/>
        <v>10</v>
      </c>
      <c r="AC17" s="204">
        <f t="shared" si="10"/>
        <v>18.571428571428569</v>
      </c>
    </row>
    <row r="18" spans="1:29" ht="14" x14ac:dyDescent="0.2">
      <c r="A18" s="103"/>
      <c r="B18" s="131">
        <v>12</v>
      </c>
      <c r="C18" s="132">
        <v>199</v>
      </c>
      <c r="D18" s="133" t="str">
        <f t="shared" si="0"/>
        <v>サ－モン4</v>
      </c>
      <c r="E18" s="350" t="e">
        <f t="shared" si="1"/>
        <v>#REF!</v>
      </c>
      <c r="F18" s="353">
        <v>13</v>
      </c>
      <c r="G18" s="135">
        <v>0.57219907407407411</v>
      </c>
      <c r="H18" s="132">
        <v>11638.000000000004</v>
      </c>
      <c r="I18" s="136">
        <v>568</v>
      </c>
      <c r="J18" s="134"/>
      <c r="K18" s="137">
        <v>1811.600000000004</v>
      </c>
      <c r="L18" s="135">
        <v>1.4125098813657424E-2</v>
      </c>
      <c r="M18" s="138">
        <v>70.543846098265973</v>
      </c>
      <c r="N18" s="139">
        <v>5.3514349544595277</v>
      </c>
      <c r="O18" s="140">
        <v>5.3</v>
      </c>
      <c r="P18" s="174"/>
      <c r="Q18" s="142"/>
      <c r="R18" s="183"/>
      <c r="S18" s="183"/>
      <c r="T18" s="199" t="e">
        <f t="shared" si="2"/>
        <v>#REF!</v>
      </c>
      <c r="U18" s="200" t="e">
        <f t="shared" si="3"/>
        <v>#REF!</v>
      </c>
      <c r="V18" s="425" t="e">
        <f t="shared" si="4"/>
        <v>#REF!</v>
      </c>
      <c r="W18" s="417">
        <f t="shared" si="5"/>
        <v>878.35</v>
      </c>
      <c r="X18" s="418">
        <f t="shared" si="6"/>
        <v>568</v>
      </c>
      <c r="Y18" s="202">
        <f t="shared" si="7"/>
        <v>505.6</v>
      </c>
      <c r="Z18" s="191"/>
      <c r="AA18" s="203">
        <f t="shared" si="8"/>
        <v>5.333333333333333</v>
      </c>
      <c r="AB18" s="198">
        <f t="shared" si="9"/>
        <v>8</v>
      </c>
      <c r="AC18" s="204">
        <f t="shared" si="10"/>
        <v>16.428571428571431</v>
      </c>
    </row>
    <row r="19" spans="1:29" ht="14" x14ac:dyDescent="0.2">
      <c r="A19" s="103"/>
      <c r="B19" s="131">
        <v>13</v>
      </c>
      <c r="C19" s="132">
        <v>5797</v>
      </c>
      <c r="D19" s="133" t="str">
        <f t="shared" si="0"/>
        <v>Zipang</v>
      </c>
      <c r="E19" s="350" t="e">
        <f t="shared" si="1"/>
        <v>#REF!</v>
      </c>
      <c r="F19" s="134">
        <v>9</v>
      </c>
      <c r="G19" s="135">
        <v>0.56958333333333333</v>
      </c>
      <c r="H19" s="132">
        <v>11412</v>
      </c>
      <c r="I19" s="136">
        <v>554.01324999999997</v>
      </c>
      <c r="J19" s="134"/>
      <c r="K19" s="137">
        <v>1827.5707750000001</v>
      </c>
      <c r="L19" s="135">
        <v>1.4309945746527749E-2</v>
      </c>
      <c r="M19" s="138">
        <v>71.467012283236841</v>
      </c>
      <c r="N19" s="139">
        <v>5.4574132492113572</v>
      </c>
      <c r="O19" s="140">
        <v>4</v>
      </c>
      <c r="P19" s="174"/>
      <c r="Q19" s="142"/>
      <c r="R19" s="183"/>
      <c r="S19" s="183"/>
      <c r="T19" s="199" t="e">
        <f t="shared" si="2"/>
        <v>#REF!</v>
      </c>
      <c r="U19" s="200" t="e">
        <f t="shared" si="3"/>
        <v>#REF!</v>
      </c>
      <c r="V19" s="425" t="e">
        <f t="shared" si="4"/>
        <v>#REF!</v>
      </c>
      <c r="W19" s="417">
        <f t="shared" si="5"/>
        <v>817.07500000000005</v>
      </c>
      <c r="X19" s="418">
        <f t="shared" si="6"/>
        <v>554.01324999999997</v>
      </c>
      <c r="Y19" s="202">
        <f t="shared" si="7"/>
        <v>499.40550000000002</v>
      </c>
      <c r="Z19" s="191"/>
      <c r="AA19" s="203">
        <f t="shared" si="8"/>
        <v>4</v>
      </c>
      <c r="AB19" s="198">
        <f t="shared" si="9"/>
        <v>6</v>
      </c>
      <c r="AC19" s="204">
        <f t="shared" si="10"/>
        <v>14.285714285714285</v>
      </c>
    </row>
    <row r="20" spans="1:29" ht="14" x14ac:dyDescent="0.2">
      <c r="A20" s="103"/>
      <c r="B20" s="131">
        <v>14</v>
      </c>
      <c r="C20" s="329">
        <v>131</v>
      </c>
      <c r="D20" s="133" t="str">
        <f t="shared" si="0"/>
        <v>ふるたか</v>
      </c>
      <c r="E20" s="350" t="e">
        <f t="shared" si="1"/>
        <v>#REF!</v>
      </c>
      <c r="F20" s="353">
        <v>15</v>
      </c>
      <c r="G20" s="135">
        <v>0.58324074074074073</v>
      </c>
      <c r="H20" s="132">
        <v>12591.999999999998</v>
      </c>
      <c r="I20" s="136">
        <v>587.55212564843805</v>
      </c>
      <c r="J20" s="134"/>
      <c r="K20" s="137">
        <v>2427.3482262820198</v>
      </c>
      <c r="L20" s="135">
        <v>2.12518143956252E-2</v>
      </c>
      <c r="M20" s="138">
        <v>106.13622912034781</v>
      </c>
      <c r="N20" s="139">
        <v>4.9459974587039399</v>
      </c>
      <c r="O20" s="140">
        <v>2.7</v>
      </c>
      <c r="P20" s="214"/>
      <c r="Q20" s="142"/>
      <c r="R20" s="183"/>
      <c r="S20" s="183"/>
      <c r="T20" s="199" t="e">
        <f t="shared" si="2"/>
        <v>#REF!</v>
      </c>
      <c r="U20" s="200" t="e">
        <f t="shared" si="3"/>
        <v>#REF!</v>
      </c>
      <c r="V20" s="425" t="e">
        <f t="shared" si="4"/>
        <v>#REF!</v>
      </c>
      <c r="W20" s="417">
        <f t="shared" si="5"/>
        <v>900.07179410207902</v>
      </c>
      <c r="X20" s="418">
        <f t="shared" si="6"/>
        <v>587.55212564843805</v>
      </c>
      <c r="Y20" s="202">
        <f t="shared" si="7"/>
        <v>533.64966543912703</v>
      </c>
      <c r="Z20" s="191"/>
      <c r="AA20" s="203">
        <f t="shared" si="8"/>
        <v>2.6666666666666665</v>
      </c>
      <c r="AB20" s="198">
        <f t="shared" si="9"/>
        <v>4</v>
      </c>
      <c r="AC20" s="204">
        <f t="shared" si="10"/>
        <v>12.142857142857142</v>
      </c>
    </row>
    <row r="21" spans="1:29" ht="14" x14ac:dyDescent="0.2">
      <c r="A21" s="103"/>
      <c r="B21" s="143">
        <v>15</v>
      </c>
      <c r="C21" s="144">
        <v>346</v>
      </c>
      <c r="D21" s="145" t="str">
        <f t="shared" si="0"/>
        <v>飛車角</v>
      </c>
      <c r="E21" s="351" t="e">
        <f t="shared" si="1"/>
        <v>#REF!</v>
      </c>
      <c r="F21" s="354">
        <v>14</v>
      </c>
      <c r="G21" s="147">
        <v>0.58293981481481483</v>
      </c>
      <c r="H21" s="144">
        <v>12566.000000000002</v>
      </c>
      <c r="I21" s="158">
        <v>567.375</v>
      </c>
      <c r="J21" s="159"/>
      <c r="K21" s="160">
        <v>2750.4125000000022</v>
      </c>
      <c r="L21" s="147">
        <v>2.499098423032407E-2</v>
      </c>
      <c r="M21" s="161">
        <v>124.81046459537569</v>
      </c>
      <c r="N21" s="162">
        <v>4.9562310997930918</v>
      </c>
      <c r="O21" s="163">
        <v>1.3</v>
      </c>
      <c r="P21" s="210"/>
      <c r="Q21" s="157"/>
      <c r="R21" s="183"/>
      <c r="S21" s="183"/>
      <c r="T21" s="199" t="e">
        <f t="shared" si="2"/>
        <v>#REF!</v>
      </c>
      <c r="U21" s="200" t="e">
        <f t="shared" si="3"/>
        <v>#REF!</v>
      </c>
      <c r="V21" s="425" t="e">
        <f t="shared" si="4"/>
        <v>#REF!</v>
      </c>
      <c r="W21" s="417">
        <f t="shared" si="5"/>
        <v>849.85</v>
      </c>
      <c r="X21" s="418">
        <f t="shared" si="6"/>
        <v>567.375</v>
      </c>
      <c r="Y21" s="202">
        <f t="shared" si="7"/>
        <v>519.29999999999995</v>
      </c>
      <c r="Z21" s="191"/>
      <c r="AA21" s="203">
        <f t="shared" si="8"/>
        <v>1.3333333333333333</v>
      </c>
      <c r="AB21" s="198">
        <f t="shared" si="9"/>
        <v>2</v>
      </c>
      <c r="AC21" s="204">
        <f t="shared" si="10"/>
        <v>10</v>
      </c>
    </row>
    <row r="22" spans="1:29" ht="14" x14ac:dyDescent="0.2">
      <c r="A22" s="103"/>
      <c r="B22" s="172"/>
      <c r="C22" s="164"/>
      <c r="D22" s="177" t="str">
        <f t="shared" ref="D22:D31" si="14">IF(ISBLANK(C22),"",VLOOKUP(C22,第4月ＴＡ,2,FALSE))</f>
        <v/>
      </c>
      <c r="E22" s="356" t="str">
        <f t="shared" ref="E22" si="15">IF($I$6="Ⅰ",T22,IF($I$6="Ⅱ",U22,IF($I$6="Ⅲ",V22,"")))</f>
        <v/>
      </c>
      <c r="F22" s="355"/>
      <c r="G22" s="168"/>
      <c r="H22" s="164" t="s">
        <v>74</v>
      </c>
      <c r="I22" s="165" t="s">
        <v>74</v>
      </c>
      <c r="J22" s="330"/>
      <c r="K22" s="167" t="s">
        <v>74</v>
      </c>
      <c r="L22" s="168" t="s">
        <v>74</v>
      </c>
      <c r="M22" s="169" t="s">
        <v>74</v>
      </c>
      <c r="N22" s="170" t="s">
        <v>74</v>
      </c>
      <c r="O22" s="171"/>
      <c r="P22" s="219"/>
      <c r="Q22" s="173"/>
      <c r="R22" s="183"/>
      <c r="S22" s="183"/>
      <c r="T22" s="199" t="str">
        <f t="shared" si="2"/>
        <v/>
      </c>
      <c r="U22" s="200" t="str">
        <f t="shared" si="3"/>
        <v/>
      </c>
      <c r="V22" s="425" t="str">
        <f t="shared" si="4"/>
        <v/>
      </c>
      <c r="W22" s="417" t="str">
        <f t="shared" si="5"/>
        <v/>
      </c>
      <c r="X22" s="418" t="str">
        <f t="shared" si="6"/>
        <v/>
      </c>
      <c r="Y22" s="202" t="str">
        <f t="shared" si="7"/>
        <v/>
      </c>
      <c r="Z22" s="191"/>
      <c r="AA22" s="203" t="str">
        <f t="shared" si="8"/>
        <v/>
      </c>
      <c r="AB22" s="198" t="str">
        <f t="shared" si="9"/>
        <v/>
      </c>
      <c r="AC22" s="204" t="str">
        <f t="shared" si="10"/>
        <v/>
      </c>
    </row>
    <row r="23" spans="1:29" ht="14" x14ac:dyDescent="0.2">
      <c r="A23" s="103"/>
      <c r="B23" s="131"/>
      <c r="C23" s="132"/>
      <c r="D23" s="133" t="str">
        <f t="shared" si="14"/>
        <v/>
      </c>
      <c r="E23" s="352"/>
      <c r="F23" s="353"/>
      <c r="G23" s="135"/>
      <c r="H23" s="132"/>
      <c r="I23" s="136"/>
      <c r="J23" s="134"/>
      <c r="K23" s="137"/>
      <c r="L23" s="135"/>
      <c r="M23" s="138"/>
      <c r="N23" s="139"/>
      <c r="O23" s="140"/>
      <c r="P23" s="174"/>
      <c r="Q23" s="142"/>
      <c r="R23" s="183"/>
      <c r="S23" s="183"/>
      <c r="T23" s="199" t="str">
        <f t="shared" si="2"/>
        <v/>
      </c>
      <c r="U23" s="200" t="str">
        <f t="shared" si="3"/>
        <v/>
      </c>
      <c r="V23" s="425" t="str">
        <f t="shared" si="4"/>
        <v/>
      </c>
      <c r="W23" s="417" t="str">
        <f t="shared" si="5"/>
        <v/>
      </c>
      <c r="X23" s="418" t="str">
        <f t="shared" si="6"/>
        <v/>
      </c>
      <c r="Y23" s="202" t="str">
        <f t="shared" si="7"/>
        <v/>
      </c>
      <c r="Z23" s="191"/>
      <c r="AA23" s="203" t="str">
        <f t="shared" si="8"/>
        <v/>
      </c>
      <c r="AB23" s="198" t="str">
        <f t="shared" si="9"/>
        <v/>
      </c>
      <c r="AC23" s="204" t="str">
        <f t="shared" si="10"/>
        <v/>
      </c>
    </row>
    <row r="24" spans="1:29" ht="14" x14ac:dyDescent="0.2">
      <c r="A24" s="103"/>
      <c r="B24" s="172"/>
      <c r="C24" s="132">
        <v>7177</v>
      </c>
      <c r="D24" s="133" t="str">
        <f t="shared" si="14"/>
        <v>Miss Emica</v>
      </c>
      <c r="E24" s="134"/>
      <c r="F24" s="134"/>
      <c r="G24" s="135"/>
      <c r="H24" s="132"/>
      <c r="I24" s="136"/>
      <c r="J24" s="134"/>
      <c r="K24" s="137"/>
      <c r="L24" s="135"/>
      <c r="M24" s="138"/>
      <c r="N24" s="139"/>
      <c r="O24" s="140">
        <v>10.666666666666666</v>
      </c>
      <c r="P24" s="175" t="s">
        <v>316</v>
      </c>
      <c r="Q24" s="142"/>
      <c r="R24" s="183"/>
      <c r="S24" s="183"/>
      <c r="T24" s="199" t="e">
        <f t="shared" si="2"/>
        <v>#REF!</v>
      </c>
      <c r="U24" s="200" t="e">
        <f t="shared" si="3"/>
        <v>#REF!</v>
      </c>
      <c r="V24" s="425" t="e">
        <f t="shared" si="4"/>
        <v>#REF!</v>
      </c>
      <c r="W24" s="417">
        <f t="shared" si="5"/>
        <v>932.45</v>
      </c>
      <c r="X24" s="418">
        <f t="shared" si="6"/>
        <v>608.85</v>
      </c>
      <c r="Y24" s="202">
        <f t="shared" si="7"/>
        <v>550.20000000000005</v>
      </c>
      <c r="Z24" s="191"/>
      <c r="AA24" s="203" t="str">
        <f t="shared" si="8"/>
        <v/>
      </c>
      <c r="AB24" s="198" t="str">
        <f t="shared" si="9"/>
        <v/>
      </c>
      <c r="AC24" s="204" t="str">
        <f t="shared" si="10"/>
        <v/>
      </c>
    </row>
    <row r="25" spans="1:29" ht="14" x14ac:dyDescent="0.2">
      <c r="A25" s="103"/>
      <c r="B25" s="131"/>
      <c r="C25" s="132"/>
      <c r="D25" s="133" t="str">
        <f t="shared" si="14"/>
        <v/>
      </c>
      <c r="E25" s="134"/>
      <c r="F25" s="134"/>
      <c r="G25" s="135"/>
      <c r="H25" s="132"/>
      <c r="I25" s="136"/>
      <c r="J25" s="134"/>
      <c r="K25" s="137"/>
      <c r="L25" s="135"/>
      <c r="M25" s="138"/>
      <c r="N25" s="139"/>
      <c r="O25" s="140"/>
      <c r="P25" s="175"/>
      <c r="Q25" s="142"/>
      <c r="R25" s="183"/>
      <c r="S25" s="183"/>
      <c r="T25" s="199" t="str">
        <f t="shared" si="2"/>
        <v/>
      </c>
      <c r="U25" s="200" t="str">
        <f t="shared" si="3"/>
        <v/>
      </c>
      <c r="V25" s="425" t="str">
        <f t="shared" si="4"/>
        <v/>
      </c>
      <c r="W25" s="417" t="str">
        <f t="shared" si="5"/>
        <v/>
      </c>
      <c r="X25" s="418" t="str">
        <f t="shared" si="6"/>
        <v/>
      </c>
      <c r="Y25" s="202" t="str">
        <f t="shared" si="7"/>
        <v/>
      </c>
      <c r="Z25" s="191"/>
      <c r="AA25" s="203" t="str">
        <f t="shared" si="8"/>
        <v/>
      </c>
      <c r="AB25" s="198" t="str">
        <f t="shared" si="9"/>
        <v/>
      </c>
      <c r="AC25" s="204" t="str">
        <f t="shared" si="10"/>
        <v/>
      </c>
    </row>
    <row r="26" spans="1:29" ht="14" x14ac:dyDescent="0.2">
      <c r="A26" s="103"/>
      <c r="B26" s="143"/>
      <c r="C26" s="144"/>
      <c r="D26" s="145" t="str">
        <f t="shared" si="14"/>
        <v/>
      </c>
      <c r="E26" s="146"/>
      <c r="F26" s="146"/>
      <c r="G26" s="147"/>
      <c r="H26" s="144" t="str">
        <f>IFERROR(IF(G26-$Q$2&lt;=0,"",(G26-$Q$2)*86400),"")</f>
        <v/>
      </c>
      <c r="I26" s="158" t="str">
        <f>IF($I$6="Ⅰ",W26,IF($I$6="Ⅱ",X26,IF($I$6="Ⅲ",Y26,"")))</f>
        <v/>
      </c>
      <c r="J26" s="146"/>
      <c r="K26" s="160" t="str">
        <f>IFERROR(H26*(1+0.01*J26)-I26*$N$3,"")</f>
        <v/>
      </c>
      <c r="L26" s="147" t="str">
        <f>IFERROR((K26-$K$7)/86400,"")</f>
        <v/>
      </c>
      <c r="M26" s="161" t="str">
        <f>IFERROR((K26-$K$7)/$N$3,"")</f>
        <v/>
      </c>
      <c r="N26" s="162" t="str">
        <f>IFERROR($N$3/(H26/3600),"")</f>
        <v/>
      </c>
      <c r="O26" s="163" t="str">
        <f>IF($O$6="MAX=20",AA26,IF($O$6="MAX=30",AB26,IF($O$6="MAX=40",AC26,"")))</f>
        <v/>
      </c>
      <c r="P26" s="176"/>
      <c r="Q26" s="157"/>
      <c r="R26" s="183"/>
      <c r="S26" s="183"/>
      <c r="T26" s="199" t="str">
        <f t="shared" si="2"/>
        <v/>
      </c>
      <c r="U26" s="200" t="str">
        <f t="shared" si="3"/>
        <v/>
      </c>
      <c r="V26" s="425" t="str">
        <f t="shared" si="4"/>
        <v/>
      </c>
      <c r="W26" s="417" t="str">
        <f t="shared" si="5"/>
        <v/>
      </c>
      <c r="X26" s="418" t="str">
        <f t="shared" si="6"/>
        <v/>
      </c>
      <c r="Y26" s="202" t="str">
        <f t="shared" si="7"/>
        <v/>
      </c>
      <c r="Z26" s="191"/>
      <c r="AA26" s="203" t="str">
        <f t="shared" si="8"/>
        <v/>
      </c>
      <c r="AB26" s="198" t="str">
        <f t="shared" si="9"/>
        <v/>
      </c>
      <c r="AC26" s="204" t="str">
        <f t="shared" si="10"/>
        <v/>
      </c>
    </row>
    <row r="27" spans="1:29" ht="14" x14ac:dyDescent="0.2">
      <c r="A27" s="103"/>
      <c r="B27" s="172"/>
      <c r="C27" s="164"/>
      <c r="D27" s="177" t="str">
        <f t="shared" si="14"/>
        <v/>
      </c>
      <c r="E27" s="166"/>
      <c r="F27" s="166"/>
      <c r="G27" s="168"/>
      <c r="H27" s="121" t="str">
        <f>IFERROR(IF(G27-$Q$2&lt;=0,"",(G27-$Q$2)*86400),"")</f>
        <v/>
      </c>
      <c r="I27" s="125"/>
      <c r="J27" s="123"/>
      <c r="K27" s="126" t="str">
        <f>IFERROR(H27*(1+0.01*J27)-I27*$N$3,"")</f>
        <v/>
      </c>
      <c r="L27" s="124" t="str">
        <f>IFERROR((K27-$K$7)/86400,"")</f>
        <v/>
      </c>
      <c r="M27" s="127" t="str">
        <f>IFERROR((K27-$K$7)/$N$3,"")</f>
        <v/>
      </c>
      <c r="N27" s="128" t="str">
        <f>IFERROR($N$3/(H27/3600),"")</f>
        <v/>
      </c>
      <c r="O27" s="129"/>
      <c r="P27" s="178"/>
      <c r="Q27" s="173"/>
      <c r="R27" s="183"/>
      <c r="S27" s="183"/>
      <c r="T27" s="199" t="str">
        <f t="shared" si="2"/>
        <v/>
      </c>
      <c r="U27" s="200" t="str">
        <f t="shared" si="3"/>
        <v/>
      </c>
      <c r="V27" s="425" t="str">
        <f t="shared" si="4"/>
        <v/>
      </c>
      <c r="W27" s="417" t="str">
        <f t="shared" si="5"/>
        <v/>
      </c>
      <c r="X27" s="418" t="str">
        <f t="shared" si="6"/>
        <v/>
      </c>
      <c r="Y27" s="202" t="str">
        <f t="shared" si="7"/>
        <v/>
      </c>
      <c r="Z27" s="191"/>
      <c r="AA27" s="203" t="str">
        <f t="shared" si="8"/>
        <v/>
      </c>
      <c r="AB27" s="198" t="str">
        <f t="shared" si="9"/>
        <v/>
      </c>
      <c r="AC27" s="204" t="str">
        <f t="shared" si="10"/>
        <v/>
      </c>
    </row>
    <row r="28" spans="1:29" ht="14.25" customHeight="1" x14ac:dyDescent="0.2">
      <c r="A28" s="103"/>
      <c r="B28" s="131"/>
      <c r="C28" s="132"/>
      <c r="D28" s="133" t="str">
        <f t="shared" si="14"/>
        <v/>
      </c>
      <c r="E28" s="134"/>
      <c r="F28" s="134"/>
      <c r="G28" s="135"/>
      <c r="H28" s="132"/>
      <c r="I28" s="136"/>
      <c r="J28" s="134"/>
      <c r="K28" s="137"/>
      <c r="L28" s="135"/>
      <c r="M28" s="138"/>
      <c r="N28" s="139"/>
      <c r="O28" s="140"/>
      <c r="P28" s="179"/>
      <c r="Q28" s="142"/>
      <c r="R28" s="183"/>
      <c r="S28" s="183"/>
      <c r="T28" s="199" t="str">
        <f t="shared" si="2"/>
        <v/>
      </c>
      <c r="U28" s="200" t="str">
        <f t="shared" si="3"/>
        <v/>
      </c>
      <c r="V28" s="425" t="str">
        <f t="shared" si="4"/>
        <v/>
      </c>
      <c r="W28" s="417" t="str">
        <f t="shared" si="5"/>
        <v/>
      </c>
      <c r="X28" s="418" t="str">
        <f t="shared" si="6"/>
        <v/>
      </c>
      <c r="Y28" s="202" t="str">
        <f t="shared" si="7"/>
        <v/>
      </c>
      <c r="Z28" s="191"/>
      <c r="AA28" s="203" t="str">
        <f t="shared" si="8"/>
        <v/>
      </c>
      <c r="AB28" s="198" t="str">
        <f t="shared" si="9"/>
        <v/>
      </c>
      <c r="AC28" s="204" t="str">
        <f t="shared" si="10"/>
        <v/>
      </c>
    </row>
    <row r="29" spans="1:29" ht="14" x14ac:dyDescent="0.2">
      <c r="A29" s="103"/>
      <c r="B29" s="131"/>
      <c r="C29" s="132"/>
      <c r="D29" s="133" t="str">
        <f t="shared" si="14"/>
        <v/>
      </c>
      <c r="E29" s="134"/>
      <c r="F29" s="134"/>
      <c r="G29" s="135"/>
      <c r="H29" s="132"/>
      <c r="I29" s="136"/>
      <c r="J29" s="134"/>
      <c r="K29" s="137"/>
      <c r="L29" s="135"/>
      <c r="M29" s="138"/>
      <c r="N29" s="139"/>
      <c r="O29" s="140"/>
      <c r="P29" s="175"/>
      <c r="Q29" s="142"/>
      <c r="R29" s="183"/>
      <c r="S29" s="183"/>
      <c r="T29" s="199" t="str">
        <f t="shared" si="2"/>
        <v/>
      </c>
      <c r="U29" s="200" t="str">
        <f t="shared" si="3"/>
        <v/>
      </c>
      <c r="V29" s="425" t="str">
        <f t="shared" si="4"/>
        <v/>
      </c>
      <c r="W29" s="417" t="str">
        <f t="shared" si="5"/>
        <v/>
      </c>
      <c r="X29" s="418" t="str">
        <f t="shared" si="6"/>
        <v/>
      </c>
      <c r="Y29" s="202" t="str">
        <f t="shared" si="7"/>
        <v/>
      </c>
      <c r="Z29" s="191"/>
      <c r="AA29" s="203" t="str">
        <f t="shared" si="8"/>
        <v/>
      </c>
      <c r="AB29" s="198" t="str">
        <f t="shared" si="9"/>
        <v/>
      </c>
      <c r="AC29" s="204" t="str">
        <f t="shared" si="10"/>
        <v/>
      </c>
    </row>
    <row r="30" spans="1:29" ht="14.25" customHeight="1" x14ac:dyDescent="0.2">
      <c r="A30" s="103"/>
      <c r="B30" s="131"/>
      <c r="C30" s="132"/>
      <c r="D30" s="133" t="str">
        <f t="shared" si="14"/>
        <v/>
      </c>
      <c r="E30" s="134"/>
      <c r="F30" s="134"/>
      <c r="G30" s="135"/>
      <c r="H30" s="132"/>
      <c r="I30" s="136"/>
      <c r="J30" s="134"/>
      <c r="K30" s="137"/>
      <c r="L30" s="135"/>
      <c r="M30" s="138"/>
      <c r="N30" s="139"/>
      <c r="O30" s="140"/>
      <c r="P30" s="175"/>
      <c r="Q30" s="142"/>
      <c r="R30" s="183"/>
      <c r="S30" s="183"/>
      <c r="T30" s="199" t="str">
        <f t="shared" si="2"/>
        <v/>
      </c>
      <c r="U30" s="200" t="str">
        <f t="shared" si="3"/>
        <v/>
      </c>
      <c r="V30" s="425" t="str">
        <f t="shared" si="4"/>
        <v/>
      </c>
      <c r="W30" s="417" t="str">
        <f t="shared" si="5"/>
        <v/>
      </c>
      <c r="X30" s="418" t="str">
        <f t="shared" si="6"/>
        <v/>
      </c>
      <c r="Y30" s="202" t="str">
        <f t="shared" si="7"/>
        <v/>
      </c>
      <c r="Z30" s="191"/>
      <c r="AA30" s="203" t="str">
        <f t="shared" si="8"/>
        <v/>
      </c>
      <c r="AB30" s="198" t="str">
        <f t="shared" si="9"/>
        <v/>
      </c>
      <c r="AC30" s="204" t="str">
        <f t="shared" si="10"/>
        <v/>
      </c>
    </row>
    <row r="31" spans="1:29" ht="14.5" thickBot="1" x14ac:dyDescent="0.25">
      <c r="A31" s="103"/>
      <c r="B31" s="131"/>
      <c r="C31" s="132"/>
      <c r="D31" s="145" t="str">
        <f t="shared" si="14"/>
        <v/>
      </c>
      <c r="E31" s="146"/>
      <c r="F31" s="134"/>
      <c r="G31" s="135"/>
      <c r="H31" s="144" t="str">
        <f>IFERROR(IF(G31-$Q$2&lt;=0,"",(G31-$Q$2)*86400),"")</f>
        <v/>
      </c>
      <c r="I31" s="158" t="str">
        <f>IF($I$6="Ⅰ",W31,IF($I$6="Ⅱ",X31,IF($I$6="Ⅲ",Y31,"")))</f>
        <v/>
      </c>
      <c r="J31" s="146"/>
      <c r="K31" s="160" t="str">
        <f>IFERROR(H31*(1+0.01*J31)-I31*$N$3,"")</f>
        <v/>
      </c>
      <c r="L31" s="147" t="str">
        <f>IFERROR((K31-$K$7)/86400,"")</f>
        <v/>
      </c>
      <c r="M31" s="161" t="str">
        <f>IFERROR((K31-$K$7)/$N$3,"")</f>
        <v/>
      </c>
      <c r="N31" s="162" t="str">
        <f>IFERROR($N$3/(H31/3600),"")</f>
        <v/>
      </c>
      <c r="O31" s="163" t="str">
        <f>IF($O$6="MAX=20",AA31,IF($O$6="MAX=30",AB31,IF($O$6="MAX=40",AC31,"")))</f>
        <v/>
      </c>
      <c r="P31" s="176"/>
      <c r="Q31" s="157"/>
      <c r="R31" s="183"/>
      <c r="S31" s="183"/>
      <c r="T31" s="205" t="str">
        <f t="shared" si="2"/>
        <v/>
      </c>
      <c r="U31" s="206" t="str">
        <f t="shared" si="3"/>
        <v/>
      </c>
      <c r="V31" s="422" t="str">
        <f t="shared" si="4"/>
        <v/>
      </c>
      <c r="W31" s="426" t="str">
        <f t="shared" si="5"/>
        <v/>
      </c>
      <c r="X31" s="420" t="str">
        <f t="shared" si="6"/>
        <v/>
      </c>
      <c r="Y31" s="421" t="str">
        <f t="shared" si="7"/>
        <v/>
      </c>
      <c r="Z31" s="191"/>
      <c r="AA31" s="211" t="str">
        <f t="shared" si="8"/>
        <v/>
      </c>
      <c r="AB31" s="212" t="str">
        <f t="shared" si="9"/>
        <v/>
      </c>
      <c r="AC31" s="213" t="str">
        <f t="shared" si="10"/>
        <v/>
      </c>
    </row>
    <row r="32" spans="1:29" ht="15" customHeight="1" x14ac:dyDescent="0.25">
      <c r="A32" s="103"/>
      <c r="B32" s="580" t="s">
        <v>203</v>
      </c>
      <c r="C32" s="581"/>
      <c r="D32" s="582"/>
      <c r="E32" s="180" t="s">
        <v>159</v>
      </c>
      <c r="F32" s="589" t="s">
        <v>354</v>
      </c>
      <c r="G32" s="590"/>
      <c r="H32" s="623" t="s">
        <v>359</v>
      </c>
      <c r="I32" s="592"/>
      <c r="J32" s="592"/>
      <c r="K32" s="592"/>
      <c r="L32" s="592"/>
      <c r="M32" s="592"/>
      <c r="N32" s="592"/>
      <c r="O32" s="592"/>
      <c r="P32" s="592"/>
      <c r="Q32" s="593"/>
      <c r="R32" s="94"/>
      <c r="S32" s="94"/>
      <c r="T32" s="186"/>
      <c r="U32" s="186"/>
      <c r="V32" s="186"/>
      <c r="Y32" s="186"/>
      <c r="Z32" s="186"/>
    </row>
    <row r="33" spans="1:26" ht="15" customHeight="1" x14ac:dyDescent="0.25">
      <c r="A33" s="103"/>
      <c r="B33" s="583"/>
      <c r="C33" s="584"/>
      <c r="D33" s="585"/>
      <c r="E33" s="181" t="s">
        <v>160</v>
      </c>
      <c r="F33" s="600" t="s">
        <v>356</v>
      </c>
      <c r="G33" s="601"/>
      <c r="H33" s="594"/>
      <c r="I33" s="595"/>
      <c r="J33" s="595"/>
      <c r="K33" s="595"/>
      <c r="L33" s="595"/>
      <c r="M33" s="595"/>
      <c r="N33" s="595"/>
      <c r="O33" s="595"/>
      <c r="P33" s="595"/>
      <c r="Q33" s="596"/>
      <c r="R33" s="94"/>
      <c r="S33" s="94"/>
      <c r="T33" s="186"/>
      <c r="U33" s="186"/>
      <c r="V33" s="186"/>
      <c r="Y33" s="186"/>
      <c r="Z33" s="186"/>
    </row>
    <row r="34" spans="1:26" ht="23.25" customHeight="1" x14ac:dyDescent="0.25">
      <c r="A34" s="103"/>
      <c r="B34" s="586"/>
      <c r="C34" s="587"/>
      <c r="D34" s="588"/>
      <c r="E34" s="181" t="s">
        <v>161</v>
      </c>
      <c r="F34" s="600" t="s">
        <v>355</v>
      </c>
      <c r="G34" s="601"/>
      <c r="H34" s="594"/>
      <c r="I34" s="595"/>
      <c r="J34" s="595"/>
      <c r="K34" s="595"/>
      <c r="L34" s="595"/>
      <c r="M34" s="595"/>
      <c r="N34" s="595"/>
      <c r="O34" s="595"/>
      <c r="P34" s="595"/>
      <c r="Q34" s="596"/>
      <c r="R34" s="94"/>
      <c r="S34" s="94"/>
      <c r="T34" s="186"/>
      <c r="U34" s="186"/>
      <c r="V34" s="186"/>
      <c r="Y34" s="186"/>
      <c r="Z34" s="186"/>
    </row>
    <row r="35" spans="1:26" ht="22.5" customHeight="1" x14ac:dyDescent="0.25">
      <c r="A35" s="103"/>
      <c r="B35" s="602" t="s">
        <v>204</v>
      </c>
      <c r="C35" s="603"/>
      <c r="D35" s="604"/>
      <c r="E35" s="574" t="s">
        <v>163</v>
      </c>
      <c r="F35" s="600" t="str">
        <f>参照ﾃﾞｰﾀ!AB14</f>
        <v>Miss Emica</v>
      </c>
      <c r="G35" s="601"/>
      <c r="H35" s="594"/>
      <c r="I35" s="595"/>
      <c r="J35" s="595"/>
      <c r="K35" s="595"/>
      <c r="L35" s="595"/>
      <c r="M35" s="595"/>
      <c r="N35" s="595"/>
      <c r="O35" s="595"/>
      <c r="P35" s="595"/>
      <c r="Q35" s="596"/>
      <c r="R35" s="94"/>
      <c r="S35" s="94"/>
      <c r="T35" s="186"/>
      <c r="U35" s="186"/>
      <c r="V35" s="186"/>
      <c r="Y35" s="186"/>
      <c r="Z35" s="186"/>
    </row>
    <row r="36" spans="1:26" ht="15" customHeight="1" x14ac:dyDescent="0.25">
      <c r="A36" s="103"/>
      <c r="B36" s="605"/>
      <c r="C36" s="606"/>
      <c r="D36" s="607"/>
      <c r="E36" s="613"/>
      <c r="F36" s="600"/>
      <c r="G36" s="601"/>
      <c r="H36" s="594"/>
      <c r="I36" s="595"/>
      <c r="J36" s="595"/>
      <c r="K36" s="595"/>
      <c r="L36" s="595"/>
      <c r="M36" s="595"/>
      <c r="N36" s="595"/>
      <c r="O36" s="595"/>
      <c r="P36" s="595"/>
      <c r="Q36" s="596"/>
      <c r="R36" s="94"/>
      <c r="S36" s="94"/>
      <c r="T36" s="186"/>
      <c r="U36" s="186"/>
      <c r="V36" s="186"/>
      <c r="Y36" s="186"/>
      <c r="Z36" s="186"/>
    </row>
    <row r="37" spans="1:26" ht="15" customHeight="1" x14ac:dyDescent="0.25">
      <c r="A37" s="103"/>
      <c r="B37" s="605"/>
      <c r="C37" s="606"/>
      <c r="D37" s="607"/>
      <c r="E37" s="180" t="s">
        <v>162</v>
      </c>
      <c r="F37" s="614">
        <v>45977</v>
      </c>
      <c r="G37" s="590"/>
      <c r="H37" s="594"/>
      <c r="I37" s="595"/>
      <c r="J37" s="595"/>
      <c r="K37" s="595"/>
      <c r="L37" s="595"/>
      <c r="M37" s="595"/>
      <c r="N37" s="595"/>
      <c r="O37" s="595"/>
      <c r="P37" s="595"/>
      <c r="Q37" s="596"/>
      <c r="R37" s="94"/>
      <c r="S37" s="94"/>
      <c r="T37" s="186"/>
      <c r="U37" s="186"/>
      <c r="V37" s="186"/>
      <c r="Y37" s="186"/>
      <c r="Z37" s="186"/>
    </row>
    <row r="38" spans="1:26" ht="15" customHeight="1" x14ac:dyDescent="0.25">
      <c r="A38" s="103"/>
      <c r="B38" s="605"/>
      <c r="C38" s="606"/>
      <c r="D38" s="607"/>
      <c r="E38" s="181" t="s">
        <v>175</v>
      </c>
      <c r="F38" s="600" t="s">
        <v>210</v>
      </c>
      <c r="G38" s="601"/>
      <c r="H38" s="594"/>
      <c r="I38" s="595"/>
      <c r="J38" s="595"/>
      <c r="K38" s="595"/>
      <c r="L38" s="595"/>
      <c r="M38" s="595"/>
      <c r="N38" s="595"/>
      <c r="O38" s="595"/>
      <c r="P38" s="595"/>
      <c r="Q38" s="596"/>
      <c r="R38" s="94"/>
      <c r="S38" s="94"/>
      <c r="T38" s="186"/>
      <c r="U38" s="186"/>
      <c r="V38" s="186"/>
      <c r="Y38" s="186"/>
      <c r="Z38" s="186"/>
    </row>
    <row r="39" spans="1:26" ht="15" customHeight="1" x14ac:dyDescent="0.25">
      <c r="A39" s="103"/>
      <c r="B39" s="605"/>
      <c r="C39" s="606"/>
      <c r="D39" s="607"/>
      <c r="E39" s="574" t="s">
        <v>163</v>
      </c>
      <c r="F39" s="600" t="str">
        <f>参照ﾃﾞｰﾀ!AB15</f>
        <v>アイデアル</v>
      </c>
      <c r="G39" s="601"/>
      <c r="H39" s="594"/>
      <c r="I39" s="595"/>
      <c r="J39" s="595"/>
      <c r="K39" s="595"/>
      <c r="L39" s="595"/>
      <c r="M39" s="595"/>
      <c r="N39" s="595"/>
      <c r="O39" s="595"/>
      <c r="P39" s="595"/>
      <c r="Q39" s="596"/>
      <c r="R39" s="94"/>
      <c r="S39" s="94"/>
      <c r="T39" s="186"/>
      <c r="U39" s="186"/>
      <c r="V39" s="186"/>
      <c r="Y39" s="186"/>
      <c r="Z39" s="186"/>
    </row>
    <row r="40" spans="1:26" ht="15" customHeight="1" x14ac:dyDescent="0.25">
      <c r="A40" s="103"/>
      <c r="B40" s="605"/>
      <c r="C40" s="606"/>
      <c r="D40" s="607"/>
      <c r="E40" s="574"/>
      <c r="F40" s="600"/>
      <c r="G40" s="601"/>
      <c r="H40" s="594"/>
      <c r="I40" s="595"/>
      <c r="J40" s="595"/>
      <c r="K40" s="595"/>
      <c r="L40" s="595"/>
      <c r="M40" s="595"/>
      <c r="N40" s="595"/>
      <c r="O40" s="595"/>
      <c r="P40" s="595"/>
      <c r="Q40" s="596"/>
      <c r="R40" s="94"/>
      <c r="S40" s="94"/>
      <c r="T40" s="186"/>
      <c r="U40" s="186"/>
      <c r="V40" s="186"/>
      <c r="Y40" s="186"/>
      <c r="Z40" s="186"/>
    </row>
    <row r="41" spans="1:26" ht="11.25" customHeight="1" thickBot="1" x14ac:dyDescent="0.3">
      <c r="A41" s="103"/>
      <c r="B41" s="608"/>
      <c r="C41" s="609"/>
      <c r="D41" s="610"/>
      <c r="E41" s="182"/>
      <c r="F41" s="611"/>
      <c r="G41" s="612"/>
      <c r="H41" s="597"/>
      <c r="I41" s="598"/>
      <c r="J41" s="598"/>
      <c r="K41" s="598"/>
      <c r="L41" s="598"/>
      <c r="M41" s="598"/>
      <c r="N41" s="598"/>
      <c r="O41" s="598"/>
      <c r="P41" s="598"/>
      <c r="Q41" s="599"/>
      <c r="R41" s="94"/>
      <c r="S41" s="94"/>
      <c r="T41" s="186"/>
      <c r="U41" s="186"/>
      <c r="V41" s="186"/>
      <c r="W41" s="186"/>
      <c r="X41" s="186"/>
      <c r="Y41" s="186"/>
      <c r="Z41" s="186"/>
    </row>
    <row r="42" spans="1:26" x14ac:dyDescent="0.2">
      <c r="A42" s="103"/>
      <c r="B42" s="103"/>
      <c r="C42" s="103"/>
      <c r="D42" s="103"/>
      <c r="E42" s="103"/>
      <c r="F42" s="103"/>
      <c r="G42" s="103"/>
      <c r="H42" s="103" t="s">
        <v>232</v>
      </c>
      <c r="I42" s="103"/>
      <c r="J42" s="103"/>
      <c r="K42" s="103"/>
      <c r="L42" s="103"/>
      <c r="M42" s="103"/>
      <c r="N42" s="103"/>
      <c r="O42" s="103"/>
      <c r="P42" s="103"/>
      <c r="Q42" s="103"/>
      <c r="R42" s="103"/>
      <c r="S42" s="103"/>
    </row>
  </sheetData>
  <sheetProtection algorithmName="SHA-512" hashValue="7k9RtapriJQWe6RNTEao1moX0K0LQYZcukuF7qXmhbRVLYJvQKDvvnp+KZ2Yv3DSCrdhvV+vhPP974UXV8YYFg==" saltValue="b3/cQ4r4X9Hv0ntZ8Ah3pg==" spinCount="100000" sheet="1" objects="1" scenarios="1"/>
  <sortState xmlns:xlrd2="http://schemas.microsoft.com/office/spreadsheetml/2017/richdata2" ref="C7:K21">
    <sortCondition ref="K7:K21"/>
  </sortState>
  <mergeCells count="19">
    <mergeCell ref="F38:G38"/>
    <mergeCell ref="E39:E40"/>
    <mergeCell ref="F39:G39"/>
    <mergeCell ref="F40:G40"/>
    <mergeCell ref="D2:F2"/>
    <mergeCell ref="E3:I3"/>
    <mergeCell ref="J3:K3"/>
    <mergeCell ref="P5:Q5"/>
    <mergeCell ref="B32:D34"/>
    <mergeCell ref="F32:G32"/>
    <mergeCell ref="H32:Q41"/>
    <mergeCell ref="F33:G33"/>
    <mergeCell ref="F34:G34"/>
    <mergeCell ref="B35:D41"/>
    <mergeCell ref="F41:G41"/>
    <mergeCell ref="E35:E36"/>
    <mergeCell ref="F35:G35"/>
    <mergeCell ref="F36:G36"/>
    <mergeCell ref="F37:G37"/>
  </mergeCells>
  <phoneticPr fontId="71"/>
  <dataValidations count="8">
    <dataValidation type="list" allowBlank="1" showInputMessage="1" showErrorMessage="1" sqref="P2 F37:G37" xr:uid="{00000000-0002-0000-0300-000000000000}">
      <formula1>開催日</formula1>
    </dataValidation>
    <dataValidation type="list" allowBlank="1" showInputMessage="1" showErrorMessage="1" sqref="Q2" xr:uid="{00000000-0002-0000-0300-000001000000}">
      <formula1>時刻</formula1>
    </dataValidation>
    <dataValidation type="list" allowBlank="1" showInputMessage="1" showErrorMessage="1" sqref="J3:K3" xr:uid="{00000000-0002-0000-0300-000002000000}">
      <formula1>暫定</formula1>
    </dataValidation>
    <dataValidation type="list" allowBlank="1" showInputMessage="1" showErrorMessage="1" sqref="G2" xr:uid="{00000000-0002-0000-0300-000003000000}">
      <formula1>月</formula1>
    </dataValidation>
    <dataValidation type="list" allowBlank="1" showInputMessage="1" showErrorMessage="1" sqref="N2 F38:G38" xr:uid="{00000000-0002-0000-0300-000004000000}">
      <formula1>コース</formula1>
    </dataValidation>
    <dataValidation type="list" showInputMessage="1" showErrorMessage="1" sqref="E3" xr:uid="{00000000-0002-0000-0300-000005000000}">
      <formula1>レース名</formula1>
    </dataValidation>
    <dataValidation type="list" allowBlank="1" showInputMessage="1" showErrorMessage="1" sqref="I6" xr:uid="{00000000-0002-0000-0300-000006000000}">
      <formula1>ＴＡ</formula1>
    </dataValidation>
    <dataValidation type="list" allowBlank="1" showInputMessage="1" showErrorMessage="1" sqref="D3" xr:uid="{00000000-0002-0000-0300-000007000000}">
      <formula1>レース番号</formula1>
    </dataValidation>
  </dataValidations>
  <pageMargins left="0.31496062992125984" right="0" top="0.35433070866141736" bottom="0.19685039370078741" header="0" footer="0"/>
  <pageSetup paperSize="9" scale="97"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D42"/>
  <sheetViews>
    <sheetView zoomScale="70" zoomScaleNormal="85" workbookViewId="0">
      <selection activeCell="H32" sqref="H32:Q41"/>
    </sheetView>
  </sheetViews>
  <sheetFormatPr defaultColWidth="9" defaultRowHeight="13" x14ac:dyDescent="0.2"/>
  <cols>
    <col min="1" max="1" width="1.7265625" style="185" customWidth="1"/>
    <col min="2" max="2" width="5" style="185" customWidth="1"/>
    <col min="3" max="3" width="7" style="185" customWidth="1"/>
    <col min="4" max="4" width="18" style="185" customWidth="1"/>
    <col min="5" max="5" width="8" style="185" hidden="1" customWidth="1"/>
    <col min="6" max="6" width="5" style="185" customWidth="1"/>
    <col min="7" max="7" width="10.90625" style="185" customWidth="1"/>
    <col min="8" max="8" width="8.36328125" style="185" customWidth="1"/>
    <col min="9" max="9" width="8.6328125" style="185" customWidth="1"/>
    <col min="10" max="10" width="5" style="185" customWidth="1"/>
    <col min="11" max="11" width="8.453125" style="185" customWidth="1"/>
    <col min="12" max="12" width="10.6328125" style="185" bestFit="1" customWidth="1"/>
    <col min="13" max="13" width="9.453125" style="185" customWidth="1"/>
    <col min="14" max="14" width="7.90625" style="185" customWidth="1"/>
    <col min="15" max="15" width="8" style="185" customWidth="1"/>
    <col min="16" max="16" width="12" style="185" bestFit="1" customWidth="1"/>
    <col min="17" max="17" width="11.6328125" style="185" customWidth="1"/>
    <col min="18" max="18" width="2.26953125" style="185" customWidth="1"/>
    <col min="19" max="20" width="7.6328125" style="185" hidden="1" customWidth="1"/>
    <col min="21" max="21" width="3" style="185" customWidth="1"/>
    <col min="22" max="22" width="8.26953125" style="185" customWidth="1"/>
    <col min="23" max="24" width="7.6328125" style="185" customWidth="1"/>
    <col min="25" max="25" width="4.453125" style="185" customWidth="1"/>
    <col min="26" max="28" width="8" style="185" customWidth="1"/>
    <col min="29" max="16384" width="9" style="185"/>
  </cols>
  <sheetData>
    <row r="1" spans="1:30" ht="9.75" customHeight="1" thickBot="1" x14ac:dyDescent="0.25">
      <c r="A1" s="103"/>
      <c r="B1" s="103"/>
      <c r="C1" s="103"/>
      <c r="D1" s="103"/>
      <c r="E1" s="103"/>
      <c r="F1" s="103"/>
      <c r="G1" s="103"/>
      <c r="H1" s="103"/>
      <c r="I1" s="103"/>
      <c r="J1" s="103"/>
      <c r="K1" s="103"/>
      <c r="L1" s="103"/>
      <c r="M1" s="103"/>
      <c r="N1" s="103"/>
      <c r="O1" s="103"/>
      <c r="P1" s="103"/>
      <c r="Q1" s="103"/>
      <c r="R1" s="103"/>
    </row>
    <row r="2" spans="1:30" ht="21" x14ac:dyDescent="0.3">
      <c r="A2" s="103"/>
      <c r="B2" s="94"/>
      <c r="C2" s="95"/>
      <c r="D2" s="575" t="str">
        <f>参照ﾃﾞｰﾀ!F4</f>
        <v>2025年</v>
      </c>
      <c r="E2" s="575"/>
      <c r="F2" s="575"/>
      <c r="G2" s="96" t="s">
        <v>173</v>
      </c>
      <c r="H2" s="97"/>
      <c r="I2" s="98"/>
      <c r="J2" s="94"/>
      <c r="K2" s="99"/>
      <c r="L2" s="94"/>
      <c r="M2" s="100" t="s">
        <v>40</v>
      </c>
      <c r="N2" s="101" t="s">
        <v>62</v>
      </c>
      <c r="O2" s="102" t="s">
        <v>42</v>
      </c>
      <c r="P2" s="230">
        <v>45977</v>
      </c>
      <c r="Q2" s="231">
        <v>0.4375</v>
      </c>
      <c r="R2" s="94"/>
      <c r="S2" s="187" t="s">
        <v>2</v>
      </c>
      <c r="T2" s="186"/>
      <c r="U2" s="186"/>
      <c r="V2" s="187" t="str">
        <f>参照ＴＡ!AH3</f>
        <v>2025年</v>
      </c>
      <c r="W2" s="187" t="str">
        <f>参照ＴＡ!AJ3</f>
        <v>11月</v>
      </c>
      <c r="X2" s="186"/>
      <c r="Y2" s="186"/>
    </row>
    <row r="3" spans="1:30" ht="21.75" customHeight="1" thickBot="1" x14ac:dyDescent="0.35">
      <c r="A3" s="103"/>
      <c r="B3" s="94"/>
      <c r="C3" s="103"/>
      <c r="D3" s="104" t="s">
        <v>273</v>
      </c>
      <c r="E3" s="615" t="s">
        <v>52</v>
      </c>
      <c r="F3" s="615"/>
      <c r="G3" s="615"/>
      <c r="H3" s="615"/>
      <c r="I3" s="615"/>
      <c r="J3" s="577" t="s">
        <v>72</v>
      </c>
      <c r="K3" s="577"/>
      <c r="L3" s="94"/>
      <c r="M3" s="105" t="s">
        <v>63</v>
      </c>
      <c r="N3" s="106">
        <f>IF(ISBLANK(N2),"",VLOOKUP(N2,コース・距離,2,FALSE))</f>
        <v>11.3</v>
      </c>
      <c r="O3" s="107" t="s">
        <v>0</v>
      </c>
      <c r="P3" s="108">
        <v>16</v>
      </c>
      <c r="Q3" s="109" t="s">
        <v>1</v>
      </c>
      <c r="R3" s="94"/>
      <c r="S3" s="186" t="s">
        <v>193</v>
      </c>
      <c r="T3" s="186"/>
      <c r="U3" s="186"/>
      <c r="V3" s="187" t="s">
        <v>2</v>
      </c>
      <c r="W3" s="186"/>
      <c r="X3" s="186"/>
      <c r="Y3" s="186"/>
      <c r="Z3" s="188" t="s">
        <v>64</v>
      </c>
    </row>
    <row r="4" spans="1:30" ht="7.5" customHeight="1" thickBot="1" x14ac:dyDescent="0.3">
      <c r="A4" s="103"/>
      <c r="B4" s="94"/>
      <c r="C4" s="94"/>
      <c r="D4" s="94"/>
      <c r="E4" s="94"/>
      <c r="F4" s="94"/>
      <c r="G4" s="94"/>
      <c r="H4" s="94"/>
      <c r="I4" s="94"/>
      <c r="J4" s="94"/>
      <c r="K4" s="94"/>
      <c r="L4" s="94"/>
      <c r="M4" s="94"/>
      <c r="N4" s="94"/>
      <c r="O4" s="94"/>
      <c r="P4" s="94"/>
      <c r="Q4" s="94"/>
      <c r="R4" s="94"/>
      <c r="S4" s="186"/>
      <c r="T4" s="186"/>
      <c r="U4" s="186"/>
      <c r="V4" s="189"/>
      <c r="W4" s="186"/>
      <c r="X4" s="186"/>
      <c r="Y4" s="186"/>
    </row>
    <row r="5" spans="1:30" ht="15.5" x14ac:dyDescent="0.25">
      <c r="A5" s="103"/>
      <c r="B5" s="110" t="s">
        <v>3</v>
      </c>
      <c r="C5" s="111" t="s">
        <v>4</v>
      </c>
      <c r="D5" s="111" t="s">
        <v>5</v>
      </c>
      <c r="E5" s="111" t="s">
        <v>6</v>
      </c>
      <c r="F5" s="111" t="s">
        <v>7</v>
      </c>
      <c r="G5" s="111" t="s">
        <v>8</v>
      </c>
      <c r="H5" s="111" t="s">
        <v>9</v>
      </c>
      <c r="I5" s="111" t="s">
        <v>10</v>
      </c>
      <c r="J5" s="111" t="s">
        <v>11</v>
      </c>
      <c r="K5" s="111" t="s">
        <v>12</v>
      </c>
      <c r="L5" s="112" t="s">
        <v>205</v>
      </c>
      <c r="M5" s="112" t="s">
        <v>202</v>
      </c>
      <c r="N5" s="111" t="s">
        <v>59</v>
      </c>
      <c r="O5" s="111" t="s">
        <v>13</v>
      </c>
      <c r="P5" s="578" t="s">
        <v>58</v>
      </c>
      <c r="Q5" s="579"/>
      <c r="R5" s="183"/>
      <c r="S5" s="192" t="s">
        <v>10</v>
      </c>
      <c r="T5" s="190" t="s">
        <v>10</v>
      </c>
      <c r="U5" s="186"/>
      <c r="V5" s="192" t="s">
        <v>10</v>
      </c>
      <c r="W5" s="190" t="s">
        <v>10</v>
      </c>
      <c r="X5" s="193" t="s">
        <v>10</v>
      </c>
      <c r="Y5" s="191"/>
      <c r="Z5" s="192" t="s">
        <v>13</v>
      </c>
      <c r="AA5" s="190" t="s">
        <v>13</v>
      </c>
      <c r="AB5" s="193" t="s">
        <v>13</v>
      </c>
      <c r="AD5" s="192" t="s">
        <v>13</v>
      </c>
    </row>
    <row r="6" spans="1:30" ht="15.5" x14ac:dyDescent="0.25">
      <c r="A6" s="103"/>
      <c r="B6" s="113"/>
      <c r="C6" s="114" t="s">
        <v>14</v>
      </c>
      <c r="D6" s="115"/>
      <c r="E6" s="116" t="s">
        <v>15</v>
      </c>
      <c r="F6" s="116"/>
      <c r="G6" s="114" t="s">
        <v>16</v>
      </c>
      <c r="H6" s="116" t="s">
        <v>17</v>
      </c>
      <c r="I6" s="114" t="s">
        <v>191</v>
      </c>
      <c r="J6" s="116" t="s">
        <v>18</v>
      </c>
      <c r="K6" s="116" t="s">
        <v>17</v>
      </c>
      <c r="L6" s="114" t="s">
        <v>16</v>
      </c>
      <c r="M6" s="116" t="s">
        <v>34</v>
      </c>
      <c r="N6" s="116" t="s">
        <v>19</v>
      </c>
      <c r="O6" s="114" t="str">
        <f>"MAX=20"</f>
        <v>MAX=20</v>
      </c>
      <c r="P6" s="118"/>
      <c r="Q6" s="119"/>
      <c r="R6" s="184"/>
      <c r="S6" s="196" t="s">
        <v>20</v>
      </c>
      <c r="T6" s="194" t="s">
        <v>22</v>
      </c>
      <c r="U6" s="186"/>
      <c r="V6" s="196" t="s">
        <v>20</v>
      </c>
      <c r="W6" s="194" t="s">
        <v>22</v>
      </c>
      <c r="X6" s="197" t="s">
        <v>21</v>
      </c>
      <c r="Y6" s="195"/>
      <c r="Z6" s="196" t="s">
        <v>66</v>
      </c>
      <c r="AA6" s="194" t="s">
        <v>67</v>
      </c>
      <c r="AB6" s="197" t="s">
        <v>68</v>
      </c>
      <c r="AD6" s="196" t="s">
        <v>227</v>
      </c>
    </row>
    <row r="7" spans="1:30" ht="15.5" x14ac:dyDescent="0.25">
      <c r="A7" s="103"/>
      <c r="B7" s="120">
        <v>1</v>
      </c>
      <c r="C7" s="121">
        <v>150</v>
      </c>
      <c r="D7" s="122" t="str">
        <f t="shared" ref="D7:D22" si="0">IF(ISBLANK(C7),"",VLOOKUP(C7,第5月ＴＡ,2,FALSE))</f>
        <v>SHARK X</v>
      </c>
      <c r="E7" s="349" t="e">
        <f t="shared" ref="E7:E22" si="1">IF($I$6="Ⅰ",S7,IF($I$6="Ⅱ",T7,IF($I$6="Ⅲ",U7,"")))</f>
        <v>#REF!</v>
      </c>
      <c r="F7" s="123">
        <v>1</v>
      </c>
      <c r="G7" s="124">
        <v>0.52015046296296297</v>
      </c>
      <c r="H7" s="121">
        <v>7141</v>
      </c>
      <c r="I7" s="125">
        <v>572.35887500000001</v>
      </c>
      <c r="J7" s="123"/>
      <c r="K7" s="126">
        <v>673.34471249999933</v>
      </c>
      <c r="L7" s="124">
        <v>0</v>
      </c>
      <c r="M7" s="127">
        <v>0</v>
      </c>
      <c r="N7" s="128">
        <v>5.6966811370956449</v>
      </c>
      <c r="O7" s="129">
        <v>20</v>
      </c>
      <c r="P7" s="220"/>
      <c r="Q7" s="130"/>
      <c r="R7" s="183"/>
      <c r="S7" s="199" t="e">
        <f t="shared" ref="S7:S31" si="2">IF(ISBLANK(C7),"",VLOOKUP(C7,各艇データ,3,FALSE))</f>
        <v>#REF!</v>
      </c>
      <c r="T7" s="200" t="e">
        <f t="shared" ref="T7:T31" si="3">IF(ISBLANK(C7),"",VLOOKUP(C7,各艇データ,4,FALSE))</f>
        <v>#REF!</v>
      </c>
      <c r="U7" s="186"/>
      <c r="V7" s="417">
        <f t="shared" ref="V7:V31" si="4">IF(ISBLANK(C7),"",VLOOKUP(C7,第5月ＴＡ,3,FALSE))</f>
        <v>845.69100000000003</v>
      </c>
      <c r="W7" s="418">
        <f t="shared" ref="W7:W31" si="5">IF(ISBLANK(C7),"",VLOOKUP(C7,第5月ＴＡ,4,FALSE))</f>
        <v>572.35887500000001</v>
      </c>
      <c r="X7" s="202">
        <f>IF(ISBLANK(C7),"",VLOOKUP(C7,第5月ＴＡ,5,FALSE))</f>
        <v>520.98749999999995</v>
      </c>
      <c r="Y7" s="191"/>
      <c r="Z7" s="203">
        <f t="shared" ref="Z7:Z31" si="6">IF(ISBLANK(B7),"",IFERROR(20*($P$3+1-$B7)/$P$3,"20.0"))</f>
        <v>20</v>
      </c>
      <c r="AA7" s="198">
        <f t="shared" ref="AA7:AA31" si="7">IF(ISBLANK(B7),"",IFERROR(30*($P$3+1-$B7)/$P$3,"30.0"))</f>
        <v>30</v>
      </c>
      <c r="AB7" s="204">
        <f t="shared" ref="AB7:AB31" si="8">IF(ISBLANK(B7),"",IFERROR(30*($P$3-$B7)/($P$3-1)+10,"20.0"))</f>
        <v>40</v>
      </c>
      <c r="AD7" s="203">
        <f t="shared" ref="AD7:AD31" si="9">IF(ISBLANK(F7),"",IFERROR(25*($P$3+1-$B7)/$P$3,"25.0"))</f>
        <v>25</v>
      </c>
    </row>
    <row r="8" spans="1:30" ht="15.5" x14ac:dyDescent="0.25">
      <c r="A8" s="103"/>
      <c r="B8" s="131">
        <v>2</v>
      </c>
      <c r="C8" s="132">
        <v>380</v>
      </c>
      <c r="D8" s="133" t="str">
        <f t="shared" si="0"/>
        <v>テティス</v>
      </c>
      <c r="E8" s="350" t="e">
        <f t="shared" si="1"/>
        <v>#REF!</v>
      </c>
      <c r="F8" s="353">
        <v>2</v>
      </c>
      <c r="G8" s="135">
        <v>0.52256944444444442</v>
      </c>
      <c r="H8" s="132">
        <v>7349.9999999999982</v>
      </c>
      <c r="I8" s="136">
        <v>557.82500000000005</v>
      </c>
      <c r="J8" s="134"/>
      <c r="K8" s="137">
        <v>1046.5774999999976</v>
      </c>
      <c r="L8" s="135">
        <v>4.3198239293981283E-3</v>
      </c>
      <c r="M8" s="138">
        <v>33.029450221238783</v>
      </c>
      <c r="N8" s="139">
        <v>5.5346938775510219</v>
      </c>
      <c r="O8" s="140">
        <v>18.8</v>
      </c>
      <c r="P8" s="141"/>
      <c r="Q8" s="142"/>
      <c r="R8" s="183"/>
      <c r="S8" s="199" t="e">
        <f t="shared" si="2"/>
        <v>#REF!</v>
      </c>
      <c r="T8" s="200" t="e">
        <f t="shared" si="3"/>
        <v>#REF!</v>
      </c>
      <c r="U8" s="186"/>
      <c r="V8" s="417">
        <f t="shared" si="4"/>
        <v>837</v>
      </c>
      <c r="W8" s="418">
        <f t="shared" si="5"/>
        <v>557.82500000000005</v>
      </c>
      <c r="X8" s="202">
        <f t="shared" ref="X8:X31" si="10">IF(ISBLANK(C8),"",VLOOKUP(C8,第5月ＴＡ,5,FALSE))</f>
        <v>507</v>
      </c>
      <c r="Y8" s="191"/>
      <c r="Z8" s="203">
        <f t="shared" si="6"/>
        <v>18.75</v>
      </c>
      <c r="AA8" s="198">
        <f t="shared" si="7"/>
        <v>28.125</v>
      </c>
      <c r="AB8" s="204">
        <f t="shared" si="8"/>
        <v>38</v>
      </c>
      <c r="AD8" s="203">
        <f t="shared" si="9"/>
        <v>23.4375</v>
      </c>
    </row>
    <row r="9" spans="1:30" ht="15.5" x14ac:dyDescent="0.25">
      <c r="A9" s="103"/>
      <c r="B9" s="131">
        <v>3</v>
      </c>
      <c r="C9" s="132">
        <v>321</v>
      </c>
      <c r="D9" s="133" t="str">
        <f t="shared" si="0"/>
        <v>かまくら</v>
      </c>
      <c r="E9" s="350" t="e">
        <f t="shared" si="1"/>
        <v>#REF!</v>
      </c>
      <c r="F9" s="353">
        <v>4</v>
      </c>
      <c r="G9" s="135">
        <v>0.52429398148148143</v>
      </c>
      <c r="H9" s="132">
        <v>7498.9999999999955</v>
      </c>
      <c r="I9" s="136">
        <v>566.375</v>
      </c>
      <c r="J9" s="209"/>
      <c r="K9" s="137">
        <v>1098.9624999999951</v>
      </c>
      <c r="L9" s="135">
        <v>4.9261317997684696E-3</v>
      </c>
      <c r="M9" s="138">
        <v>37.665290929203159</v>
      </c>
      <c r="N9" s="139">
        <v>5.4247232964395291</v>
      </c>
      <c r="O9" s="140">
        <v>17.5</v>
      </c>
      <c r="P9" s="141"/>
      <c r="Q9" s="142"/>
      <c r="R9" s="183"/>
      <c r="S9" s="199" t="e">
        <f t="shared" si="2"/>
        <v>#REF!</v>
      </c>
      <c r="T9" s="200" t="e">
        <f t="shared" si="3"/>
        <v>#REF!</v>
      </c>
      <c r="U9" s="186"/>
      <c r="V9" s="417">
        <f t="shared" si="4"/>
        <v>845.65</v>
      </c>
      <c r="W9" s="418">
        <f t="shared" si="5"/>
        <v>566.375</v>
      </c>
      <c r="X9" s="202">
        <f t="shared" si="10"/>
        <v>508.7</v>
      </c>
      <c r="Y9" s="191"/>
      <c r="Z9" s="203">
        <f t="shared" si="6"/>
        <v>17.5</v>
      </c>
      <c r="AA9" s="198">
        <f t="shared" si="7"/>
        <v>26.25</v>
      </c>
      <c r="AB9" s="204">
        <f t="shared" si="8"/>
        <v>36</v>
      </c>
      <c r="AD9" s="203">
        <f t="shared" si="9"/>
        <v>21.875</v>
      </c>
    </row>
    <row r="10" spans="1:30" ht="15.5" x14ac:dyDescent="0.25">
      <c r="A10" s="103"/>
      <c r="B10" s="131">
        <v>4</v>
      </c>
      <c r="C10" s="132">
        <v>5797</v>
      </c>
      <c r="D10" s="133" t="str">
        <f t="shared" si="0"/>
        <v>Zipang</v>
      </c>
      <c r="E10" s="350" t="e">
        <f t="shared" si="1"/>
        <v>#REF!</v>
      </c>
      <c r="F10" s="134">
        <v>3</v>
      </c>
      <c r="G10" s="135">
        <v>0.52414351851851848</v>
      </c>
      <c r="H10" s="132">
        <v>7485.9999999999964</v>
      </c>
      <c r="I10" s="136">
        <v>554.01324999999997</v>
      </c>
      <c r="J10" s="134"/>
      <c r="K10" s="137">
        <v>1225.6502749999963</v>
      </c>
      <c r="L10" s="135">
        <v>6.3924254918981136E-3</v>
      </c>
      <c r="M10" s="138">
        <v>48.876598451327162</v>
      </c>
      <c r="N10" s="139">
        <v>5.4341437349719506</v>
      </c>
      <c r="O10" s="140">
        <v>16.3</v>
      </c>
      <c r="P10" s="208"/>
      <c r="Q10" s="142"/>
      <c r="R10" s="183"/>
      <c r="S10" s="199" t="e">
        <f t="shared" si="2"/>
        <v>#REF!</v>
      </c>
      <c r="T10" s="200" t="e">
        <f t="shared" si="3"/>
        <v>#REF!</v>
      </c>
      <c r="U10" s="186"/>
      <c r="V10" s="417">
        <f t="shared" si="4"/>
        <v>817.07500000000005</v>
      </c>
      <c r="W10" s="418">
        <f t="shared" si="5"/>
        <v>554.01324999999997</v>
      </c>
      <c r="X10" s="202">
        <f t="shared" si="10"/>
        <v>499.40550000000002</v>
      </c>
      <c r="Y10" s="191"/>
      <c r="Z10" s="203">
        <f t="shared" si="6"/>
        <v>16.25</v>
      </c>
      <c r="AA10" s="198">
        <f t="shared" si="7"/>
        <v>24.375</v>
      </c>
      <c r="AB10" s="204">
        <f t="shared" si="8"/>
        <v>34</v>
      </c>
      <c r="AD10" s="203">
        <f t="shared" si="9"/>
        <v>20.3125</v>
      </c>
    </row>
    <row r="11" spans="1:30" ht="15.5" x14ac:dyDescent="0.25">
      <c r="A11" s="103"/>
      <c r="B11" s="143">
        <v>5</v>
      </c>
      <c r="C11" s="144">
        <v>2759</v>
      </c>
      <c r="D11" s="145" t="str">
        <f t="shared" si="0"/>
        <v>IXORA Ⅳ</v>
      </c>
      <c r="E11" s="351" t="e">
        <f t="shared" si="1"/>
        <v>#REF!</v>
      </c>
      <c r="F11" s="146">
        <v>7</v>
      </c>
      <c r="G11" s="147">
        <v>0.5284375</v>
      </c>
      <c r="H11" s="148">
        <v>7857</v>
      </c>
      <c r="I11" s="149">
        <v>565.70000000000005</v>
      </c>
      <c r="J11" s="150"/>
      <c r="K11" s="151">
        <v>1464.5899999999992</v>
      </c>
      <c r="L11" s="152">
        <v>9.1579315682870366E-3</v>
      </c>
      <c r="M11" s="153">
        <v>70.021706858407072</v>
      </c>
      <c r="N11" s="154">
        <v>5.1775486827033221</v>
      </c>
      <c r="O11" s="163">
        <v>15</v>
      </c>
      <c r="P11" s="156"/>
      <c r="Q11" s="157"/>
      <c r="R11" s="183"/>
      <c r="S11" s="199" t="e">
        <f t="shared" si="2"/>
        <v>#REF!</v>
      </c>
      <c r="T11" s="200" t="e">
        <f t="shared" si="3"/>
        <v>#REF!</v>
      </c>
      <c r="U11" s="186"/>
      <c r="V11" s="417">
        <f t="shared" si="4"/>
        <v>831.15</v>
      </c>
      <c r="W11" s="418">
        <f t="shared" si="5"/>
        <v>565.70000000000005</v>
      </c>
      <c r="X11" s="202">
        <f t="shared" si="10"/>
        <v>508.8</v>
      </c>
      <c r="Y11" s="191"/>
      <c r="Z11" s="203">
        <f t="shared" si="6"/>
        <v>15</v>
      </c>
      <c r="AA11" s="198">
        <f t="shared" si="7"/>
        <v>22.5</v>
      </c>
      <c r="AB11" s="204">
        <f t="shared" si="8"/>
        <v>32</v>
      </c>
      <c r="AD11" s="203">
        <f t="shared" si="9"/>
        <v>18.75</v>
      </c>
    </row>
    <row r="12" spans="1:30" ht="15.5" x14ac:dyDescent="0.25">
      <c r="A12" s="103"/>
      <c r="B12" s="120">
        <v>6</v>
      </c>
      <c r="C12" s="121">
        <v>312</v>
      </c>
      <c r="D12" s="177" t="str">
        <f t="shared" si="0"/>
        <v>はやとり</v>
      </c>
      <c r="E12" s="349" t="e">
        <f t="shared" si="1"/>
        <v>#REF!</v>
      </c>
      <c r="F12" s="123">
        <v>9</v>
      </c>
      <c r="G12" s="124">
        <v>0.53243055555555552</v>
      </c>
      <c r="H12" s="121">
        <v>8201.9999999999964</v>
      </c>
      <c r="I12" s="125">
        <v>594.27499999999998</v>
      </c>
      <c r="J12" s="123"/>
      <c r="K12" s="126">
        <v>1486.6924999999965</v>
      </c>
      <c r="L12" s="124">
        <v>9.413747540509226E-3</v>
      </c>
      <c r="M12" s="127">
        <v>71.977680309734254</v>
      </c>
      <c r="N12" s="128">
        <v>4.9597659107534771</v>
      </c>
      <c r="O12" s="129">
        <v>13.8</v>
      </c>
      <c r="P12" s="103"/>
      <c r="Q12" s="130"/>
      <c r="R12" s="183"/>
      <c r="S12" s="199" t="e">
        <f t="shared" si="2"/>
        <v>#REF!</v>
      </c>
      <c r="T12" s="200" t="e">
        <f t="shared" si="3"/>
        <v>#REF!</v>
      </c>
      <c r="U12" s="186"/>
      <c r="V12" s="417">
        <f t="shared" si="4"/>
        <v>895.25</v>
      </c>
      <c r="W12" s="418">
        <f t="shared" si="5"/>
        <v>594.27499999999998</v>
      </c>
      <c r="X12" s="202">
        <f t="shared" si="10"/>
        <v>540.29999999999995</v>
      </c>
      <c r="Y12" s="191"/>
      <c r="Z12" s="203">
        <f t="shared" si="6"/>
        <v>13.75</v>
      </c>
      <c r="AA12" s="198">
        <f t="shared" si="7"/>
        <v>20.625</v>
      </c>
      <c r="AB12" s="204">
        <f t="shared" si="8"/>
        <v>30</v>
      </c>
      <c r="AD12" s="203">
        <f t="shared" si="9"/>
        <v>17.1875</v>
      </c>
    </row>
    <row r="13" spans="1:30" ht="15.5" x14ac:dyDescent="0.25">
      <c r="A13" s="103"/>
      <c r="B13" s="131">
        <v>7</v>
      </c>
      <c r="C13" s="132">
        <v>1733</v>
      </c>
      <c r="D13" s="133" t="str">
        <f t="shared" si="0"/>
        <v>ケロニア</v>
      </c>
      <c r="E13" s="350" t="e">
        <f t="shared" si="1"/>
        <v>#REF!</v>
      </c>
      <c r="F13" s="134">
        <v>6</v>
      </c>
      <c r="G13" s="135">
        <v>0.52793981481481478</v>
      </c>
      <c r="H13" s="132">
        <v>7813.9999999999973</v>
      </c>
      <c r="I13" s="136">
        <v>559.9</v>
      </c>
      <c r="J13" s="134"/>
      <c r="K13" s="137">
        <v>1487.1299999999974</v>
      </c>
      <c r="L13" s="135">
        <v>9.418811197916644E-3</v>
      </c>
      <c r="M13" s="138">
        <v>72.016397123893626</v>
      </c>
      <c r="N13" s="139">
        <v>5.2060404402354772</v>
      </c>
      <c r="O13" s="140">
        <v>12.5</v>
      </c>
      <c r="P13" s="174"/>
      <c r="Q13" s="142"/>
      <c r="R13" s="183"/>
      <c r="S13" s="199" t="e">
        <f t="shared" si="2"/>
        <v>#REF!</v>
      </c>
      <c r="T13" s="200" t="e">
        <f t="shared" si="3"/>
        <v>#REF!</v>
      </c>
      <c r="U13" s="186"/>
      <c r="V13" s="417">
        <f t="shared" si="4"/>
        <v>852.05</v>
      </c>
      <c r="W13" s="418">
        <f t="shared" si="5"/>
        <v>559.9</v>
      </c>
      <c r="X13" s="202">
        <f t="shared" si="10"/>
        <v>501.85</v>
      </c>
      <c r="Y13" s="191"/>
      <c r="Z13" s="203">
        <f t="shared" si="6"/>
        <v>12.5</v>
      </c>
      <c r="AA13" s="198">
        <f t="shared" si="7"/>
        <v>18.75</v>
      </c>
      <c r="AB13" s="204">
        <f t="shared" si="8"/>
        <v>28</v>
      </c>
      <c r="AD13" s="203">
        <f t="shared" si="9"/>
        <v>15.625</v>
      </c>
    </row>
    <row r="14" spans="1:30" ht="15.5" x14ac:dyDescent="0.25">
      <c r="A14" s="103"/>
      <c r="B14" s="131">
        <v>8</v>
      </c>
      <c r="C14" s="132">
        <v>6793</v>
      </c>
      <c r="D14" s="133" t="str">
        <f t="shared" si="0"/>
        <v>Miss Nippon</v>
      </c>
      <c r="E14" s="350" t="e">
        <f t="shared" si="1"/>
        <v>#REF!</v>
      </c>
      <c r="F14" s="134">
        <v>5</v>
      </c>
      <c r="G14" s="135">
        <v>0.52493055555555557</v>
      </c>
      <c r="H14" s="132">
        <v>7554.0000000000009</v>
      </c>
      <c r="I14" s="136">
        <v>533.375</v>
      </c>
      <c r="J14" s="134"/>
      <c r="K14" s="137">
        <v>1526.8625000000002</v>
      </c>
      <c r="L14" s="135">
        <v>9.8786780960648246E-3</v>
      </c>
      <c r="M14" s="138">
        <v>75.532547566371747</v>
      </c>
      <c r="N14" s="139">
        <v>5.3852263701350278</v>
      </c>
      <c r="O14" s="140">
        <v>11.3</v>
      </c>
      <c r="P14" s="141"/>
      <c r="Q14" s="142"/>
      <c r="R14" s="183"/>
      <c r="S14" s="199" t="e">
        <f t="shared" si="2"/>
        <v>#REF!</v>
      </c>
      <c r="T14" s="200" t="e">
        <f t="shared" si="3"/>
        <v>#REF!</v>
      </c>
      <c r="U14" s="186"/>
      <c r="V14" s="417">
        <f t="shared" si="4"/>
        <v>805.25</v>
      </c>
      <c r="W14" s="418">
        <f t="shared" si="5"/>
        <v>533.375</v>
      </c>
      <c r="X14" s="202">
        <f t="shared" si="10"/>
        <v>484.45</v>
      </c>
      <c r="Y14" s="191"/>
      <c r="Z14" s="203">
        <f t="shared" si="6"/>
        <v>11.25</v>
      </c>
      <c r="AA14" s="198">
        <f t="shared" si="7"/>
        <v>16.875</v>
      </c>
      <c r="AB14" s="204">
        <f t="shared" si="8"/>
        <v>26</v>
      </c>
      <c r="AD14" s="203">
        <f t="shared" si="9"/>
        <v>14.0625</v>
      </c>
    </row>
    <row r="15" spans="1:30" ht="15.5" x14ac:dyDescent="0.25">
      <c r="A15" s="103"/>
      <c r="B15" s="131">
        <v>9</v>
      </c>
      <c r="C15" s="132">
        <v>6766</v>
      </c>
      <c r="D15" s="133" t="str">
        <f t="shared" si="0"/>
        <v>くろしお</v>
      </c>
      <c r="E15" s="350" t="e">
        <f t="shared" si="1"/>
        <v>#REF!</v>
      </c>
      <c r="F15" s="134">
        <v>10</v>
      </c>
      <c r="G15" s="135">
        <v>0.53604166666666664</v>
      </c>
      <c r="H15" s="132">
        <v>8513.9999999999982</v>
      </c>
      <c r="I15" s="136">
        <v>580.28401809445302</v>
      </c>
      <c r="J15" s="209"/>
      <c r="K15" s="137">
        <v>1956.7905955326787</v>
      </c>
      <c r="L15" s="135">
        <v>1.485469772028564E-2</v>
      </c>
      <c r="M15" s="138">
        <v>113.5792816843079</v>
      </c>
      <c r="N15" s="139">
        <v>4.7780126849894309</v>
      </c>
      <c r="O15" s="140">
        <v>10</v>
      </c>
      <c r="P15" s="174"/>
      <c r="Q15" s="142"/>
      <c r="R15" s="183"/>
      <c r="S15" s="199" t="e">
        <f t="shared" si="2"/>
        <v>#REF!</v>
      </c>
      <c r="T15" s="200" t="e">
        <f t="shared" si="3"/>
        <v>#REF!</v>
      </c>
      <c r="U15" s="186"/>
      <c r="V15" s="417">
        <f t="shared" si="4"/>
        <v>861.33196885072402</v>
      </c>
      <c r="W15" s="418">
        <f t="shared" si="5"/>
        <v>580.28401809445302</v>
      </c>
      <c r="X15" s="202">
        <f t="shared" si="10"/>
        <v>522.82691186688703</v>
      </c>
      <c r="Y15" s="191"/>
      <c r="Z15" s="203">
        <f t="shared" si="6"/>
        <v>10</v>
      </c>
      <c r="AA15" s="198">
        <f t="shared" si="7"/>
        <v>15</v>
      </c>
      <c r="AB15" s="204">
        <f t="shared" si="8"/>
        <v>24</v>
      </c>
      <c r="AD15" s="203">
        <f t="shared" si="9"/>
        <v>12.5</v>
      </c>
    </row>
    <row r="16" spans="1:30" ht="15.5" x14ac:dyDescent="0.25">
      <c r="A16" s="103"/>
      <c r="B16" s="143">
        <v>10</v>
      </c>
      <c r="C16" s="144">
        <v>6269</v>
      </c>
      <c r="D16" s="145" t="str">
        <f t="shared" si="0"/>
        <v>VITTORIA</v>
      </c>
      <c r="E16" s="351" t="e">
        <f t="shared" si="1"/>
        <v>#REF!</v>
      </c>
      <c r="F16" s="146">
        <v>8</v>
      </c>
      <c r="G16" s="147">
        <v>0.53125</v>
      </c>
      <c r="H16" s="144">
        <v>8100</v>
      </c>
      <c r="I16" s="158">
        <v>542.56262500000003</v>
      </c>
      <c r="J16" s="146"/>
      <c r="K16" s="160">
        <v>1969.0423374999991</v>
      </c>
      <c r="L16" s="147">
        <v>1.4996500289351849E-2</v>
      </c>
      <c r="M16" s="161">
        <v>114.66350663716811</v>
      </c>
      <c r="N16" s="162">
        <v>5.0222222222222221</v>
      </c>
      <c r="O16" s="163">
        <v>8.8000000000000007</v>
      </c>
      <c r="P16" s="210"/>
      <c r="Q16" s="157"/>
      <c r="R16" s="183"/>
      <c r="S16" s="199" t="e">
        <f t="shared" si="2"/>
        <v>#REF!</v>
      </c>
      <c r="T16" s="200" t="e">
        <f t="shared" si="3"/>
        <v>#REF!</v>
      </c>
      <c r="U16" s="186"/>
      <c r="V16" s="417">
        <f t="shared" si="4"/>
        <v>798.60199999999998</v>
      </c>
      <c r="W16" s="418">
        <f t="shared" si="5"/>
        <v>542.56262500000003</v>
      </c>
      <c r="X16" s="202">
        <f t="shared" si="10"/>
        <v>492.52499999999998</v>
      </c>
      <c r="Y16" s="191"/>
      <c r="Z16" s="203">
        <f t="shared" si="6"/>
        <v>8.75</v>
      </c>
      <c r="AA16" s="198">
        <f t="shared" si="7"/>
        <v>13.125</v>
      </c>
      <c r="AB16" s="204">
        <f t="shared" si="8"/>
        <v>22</v>
      </c>
      <c r="AD16" s="203">
        <f t="shared" si="9"/>
        <v>10.9375</v>
      </c>
    </row>
    <row r="17" spans="1:30" ht="15.5" x14ac:dyDescent="0.25">
      <c r="A17" s="103"/>
      <c r="B17" s="120">
        <v>11</v>
      </c>
      <c r="C17" s="121">
        <v>5537</v>
      </c>
      <c r="D17" s="177" t="str">
        <f t="shared" si="0"/>
        <v>SUNNY QUEEN</v>
      </c>
      <c r="E17" s="349" t="e">
        <f t="shared" si="1"/>
        <v>#REF!</v>
      </c>
      <c r="F17" s="515">
        <v>13</v>
      </c>
      <c r="G17" s="124">
        <v>0.54006944444444449</v>
      </c>
      <c r="H17" s="121">
        <v>8862.0000000000036</v>
      </c>
      <c r="I17" s="125">
        <v>595.70000000000005</v>
      </c>
      <c r="J17" s="123"/>
      <c r="K17" s="126">
        <v>2130.5900000000029</v>
      </c>
      <c r="L17" s="124">
        <v>1.6866264901620413E-2</v>
      </c>
      <c r="M17" s="127">
        <v>128.95975995575253</v>
      </c>
      <c r="N17" s="128">
        <v>4.590385917400134</v>
      </c>
      <c r="O17" s="129">
        <v>7.5</v>
      </c>
      <c r="P17" s="214"/>
      <c r="Q17" s="130"/>
      <c r="R17" s="183"/>
      <c r="S17" s="199" t="e">
        <f t="shared" si="2"/>
        <v>#REF!</v>
      </c>
      <c r="T17" s="200" t="e">
        <f t="shared" si="3"/>
        <v>#REF!</v>
      </c>
      <c r="U17" s="186"/>
      <c r="V17" s="417">
        <f t="shared" si="4"/>
        <v>896.05</v>
      </c>
      <c r="W17" s="418">
        <f t="shared" si="5"/>
        <v>595.70000000000005</v>
      </c>
      <c r="X17" s="202">
        <f t="shared" si="10"/>
        <v>538.6</v>
      </c>
      <c r="Y17" s="191"/>
      <c r="Z17" s="203">
        <f t="shared" si="6"/>
        <v>7.5</v>
      </c>
      <c r="AA17" s="198">
        <f t="shared" si="7"/>
        <v>11.25</v>
      </c>
      <c r="AB17" s="204">
        <f t="shared" si="8"/>
        <v>20</v>
      </c>
      <c r="AD17" s="203">
        <f t="shared" si="9"/>
        <v>9.375</v>
      </c>
    </row>
    <row r="18" spans="1:30" ht="15.5" x14ac:dyDescent="0.25">
      <c r="A18" s="103"/>
      <c r="B18" s="131">
        <v>12</v>
      </c>
      <c r="C18" s="132">
        <v>199</v>
      </c>
      <c r="D18" s="133" t="str">
        <f t="shared" si="0"/>
        <v>サ－モン4</v>
      </c>
      <c r="E18" s="350" t="e">
        <f t="shared" si="1"/>
        <v>#REF!</v>
      </c>
      <c r="F18" s="134">
        <v>11</v>
      </c>
      <c r="G18" s="135">
        <v>0.53741898148148148</v>
      </c>
      <c r="H18" s="132">
        <v>8633</v>
      </c>
      <c r="I18" s="136">
        <v>568</v>
      </c>
      <c r="J18" s="134"/>
      <c r="K18" s="137">
        <v>2214.5999999999995</v>
      </c>
      <c r="L18" s="135">
        <v>1.7838602864583334E-2</v>
      </c>
      <c r="M18" s="138">
        <v>136.39427323008849</v>
      </c>
      <c r="N18" s="139">
        <v>4.7121510483030233</v>
      </c>
      <c r="O18" s="140">
        <v>6.3</v>
      </c>
      <c r="P18" s="174"/>
      <c r="Q18" s="142"/>
      <c r="R18" s="183"/>
      <c r="S18" s="199" t="e">
        <f t="shared" si="2"/>
        <v>#REF!</v>
      </c>
      <c r="T18" s="200" t="e">
        <f t="shared" si="3"/>
        <v>#REF!</v>
      </c>
      <c r="U18" s="186"/>
      <c r="V18" s="417">
        <f t="shared" si="4"/>
        <v>878.35</v>
      </c>
      <c r="W18" s="418">
        <f t="shared" si="5"/>
        <v>568</v>
      </c>
      <c r="X18" s="202">
        <f t="shared" si="10"/>
        <v>505.6</v>
      </c>
      <c r="Y18" s="191"/>
      <c r="Z18" s="203">
        <f t="shared" si="6"/>
        <v>6.25</v>
      </c>
      <c r="AA18" s="198">
        <f t="shared" si="7"/>
        <v>9.375</v>
      </c>
      <c r="AB18" s="204">
        <f t="shared" si="8"/>
        <v>18</v>
      </c>
      <c r="AD18" s="203">
        <f t="shared" si="9"/>
        <v>7.8125</v>
      </c>
    </row>
    <row r="19" spans="1:30" ht="15.5" x14ac:dyDescent="0.25">
      <c r="A19" s="103"/>
      <c r="B19" s="131">
        <v>13</v>
      </c>
      <c r="C19" s="132">
        <v>7177</v>
      </c>
      <c r="D19" s="133" t="str">
        <f t="shared" si="0"/>
        <v>Miss Emica</v>
      </c>
      <c r="E19" s="350" t="e">
        <f t="shared" si="1"/>
        <v>#REF!</v>
      </c>
      <c r="F19" s="134">
        <v>14</v>
      </c>
      <c r="G19" s="135">
        <v>0.54334490740740737</v>
      </c>
      <c r="H19" s="132">
        <v>9144.9999999999964</v>
      </c>
      <c r="I19" s="136">
        <v>608.85</v>
      </c>
      <c r="J19" s="134"/>
      <c r="K19" s="137">
        <v>2264.9949999999953</v>
      </c>
      <c r="L19" s="135">
        <v>1.842187832754625E-2</v>
      </c>
      <c r="M19" s="138">
        <v>140.85400774336247</v>
      </c>
      <c r="N19" s="139">
        <v>4.4483324220885745</v>
      </c>
      <c r="O19" s="140">
        <v>5</v>
      </c>
      <c r="P19" s="174"/>
      <c r="Q19" s="142"/>
      <c r="R19" s="183"/>
      <c r="S19" s="199" t="e">
        <f t="shared" si="2"/>
        <v>#REF!</v>
      </c>
      <c r="T19" s="200" t="e">
        <f t="shared" si="3"/>
        <v>#REF!</v>
      </c>
      <c r="U19" s="186"/>
      <c r="V19" s="417">
        <f t="shared" si="4"/>
        <v>932.45</v>
      </c>
      <c r="W19" s="418">
        <f t="shared" si="5"/>
        <v>608.85</v>
      </c>
      <c r="X19" s="202">
        <f t="shared" si="10"/>
        <v>550.20000000000005</v>
      </c>
      <c r="Y19" s="191"/>
      <c r="Z19" s="203">
        <f t="shared" si="6"/>
        <v>5</v>
      </c>
      <c r="AA19" s="198">
        <f t="shared" si="7"/>
        <v>7.5</v>
      </c>
      <c r="AB19" s="204">
        <f t="shared" si="8"/>
        <v>16</v>
      </c>
      <c r="AD19" s="203">
        <f t="shared" si="9"/>
        <v>6.25</v>
      </c>
    </row>
    <row r="20" spans="1:30" ht="15.5" x14ac:dyDescent="0.25">
      <c r="A20" s="103"/>
      <c r="B20" s="131">
        <v>14</v>
      </c>
      <c r="C20" s="132">
        <v>346</v>
      </c>
      <c r="D20" s="133" t="str">
        <f t="shared" si="0"/>
        <v>飛車角</v>
      </c>
      <c r="E20" s="350" t="e">
        <f t="shared" si="1"/>
        <v>#REF!</v>
      </c>
      <c r="F20" s="353">
        <v>12</v>
      </c>
      <c r="G20" s="135">
        <v>0.5382986111111111</v>
      </c>
      <c r="H20" s="132">
        <v>8709</v>
      </c>
      <c r="I20" s="136">
        <v>567.375</v>
      </c>
      <c r="J20" s="134"/>
      <c r="K20" s="137">
        <v>2297.6624999999995</v>
      </c>
      <c r="L20" s="135">
        <v>1.8799974392361113E-2</v>
      </c>
      <c r="M20" s="138">
        <v>143.74493694690267</v>
      </c>
      <c r="N20" s="139">
        <v>4.6710299689975896</v>
      </c>
      <c r="O20" s="140">
        <v>3.8</v>
      </c>
      <c r="P20" s="214"/>
      <c r="Q20" s="142"/>
      <c r="R20" s="183"/>
      <c r="S20" s="199" t="e">
        <f t="shared" si="2"/>
        <v>#REF!</v>
      </c>
      <c r="T20" s="200" t="e">
        <f t="shared" si="3"/>
        <v>#REF!</v>
      </c>
      <c r="U20" s="186"/>
      <c r="V20" s="417">
        <f t="shared" si="4"/>
        <v>849.85</v>
      </c>
      <c r="W20" s="418">
        <f t="shared" si="5"/>
        <v>567.375</v>
      </c>
      <c r="X20" s="202">
        <f t="shared" si="10"/>
        <v>519.29999999999995</v>
      </c>
      <c r="Y20" s="191"/>
      <c r="Z20" s="203">
        <f t="shared" si="6"/>
        <v>3.75</v>
      </c>
      <c r="AA20" s="198">
        <f t="shared" si="7"/>
        <v>5.625</v>
      </c>
      <c r="AB20" s="204">
        <f t="shared" si="8"/>
        <v>14</v>
      </c>
      <c r="AD20" s="203">
        <f t="shared" si="9"/>
        <v>4.6875</v>
      </c>
    </row>
    <row r="21" spans="1:30" ht="15.5" x14ac:dyDescent="0.25">
      <c r="A21" s="103"/>
      <c r="B21" s="143">
        <v>15</v>
      </c>
      <c r="C21" s="144">
        <v>4071</v>
      </c>
      <c r="D21" s="145" t="str">
        <f t="shared" si="0"/>
        <v>胡桃</v>
      </c>
      <c r="E21" s="351" t="e">
        <f t="shared" si="1"/>
        <v>#REF!</v>
      </c>
      <c r="F21" s="354">
        <v>15</v>
      </c>
      <c r="G21" s="147">
        <v>0.54409722222222223</v>
      </c>
      <c r="H21" s="144">
        <v>9210</v>
      </c>
      <c r="I21" s="158">
        <v>588.32500000000005</v>
      </c>
      <c r="J21" s="159"/>
      <c r="K21" s="160">
        <v>2561.9274999999989</v>
      </c>
      <c r="L21" s="147">
        <v>2.1858597077546289E-2</v>
      </c>
      <c r="M21" s="161">
        <v>167.13122013274332</v>
      </c>
      <c r="N21" s="162">
        <v>4.4169381107491867</v>
      </c>
      <c r="O21" s="163">
        <v>2.5</v>
      </c>
      <c r="P21" s="210"/>
      <c r="Q21" s="157"/>
      <c r="R21" s="183"/>
      <c r="S21" s="199" t="e">
        <f t="shared" si="2"/>
        <v>#REF!</v>
      </c>
      <c r="T21" s="200" t="e">
        <f t="shared" si="3"/>
        <v>#REF!</v>
      </c>
      <c r="U21" s="186"/>
      <c r="V21" s="417">
        <f t="shared" si="4"/>
        <v>917.35</v>
      </c>
      <c r="W21" s="418">
        <f t="shared" si="5"/>
        <v>588.32500000000005</v>
      </c>
      <c r="X21" s="202">
        <f t="shared" si="10"/>
        <v>529.04999999999995</v>
      </c>
      <c r="Y21" s="191"/>
      <c r="Z21" s="203">
        <f t="shared" si="6"/>
        <v>2.5</v>
      </c>
      <c r="AA21" s="198">
        <f t="shared" si="7"/>
        <v>3.75</v>
      </c>
      <c r="AB21" s="204">
        <f t="shared" si="8"/>
        <v>12</v>
      </c>
      <c r="AD21" s="203">
        <f t="shared" si="9"/>
        <v>3.125</v>
      </c>
    </row>
    <row r="22" spans="1:30" ht="15.5" x14ac:dyDescent="0.25">
      <c r="A22" s="103"/>
      <c r="B22" s="172">
        <v>16</v>
      </c>
      <c r="C22" s="218">
        <v>131</v>
      </c>
      <c r="D22" s="177" t="str">
        <f t="shared" si="0"/>
        <v>ふるたか</v>
      </c>
      <c r="E22" s="349" t="e">
        <f t="shared" si="1"/>
        <v>#REF!</v>
      </c>
      <c r="F22" s="355">
        <v>16</v>
      </c>
      <c r="G22" s="124">
        <v>0.5461921296296296</v>
      </c>
      <c r="H22" s="121">
        <v>9390.9999999999964</v>
      </c>
      <c r="I22" s="125">
        <v>587.55212564843805</v>
      </c>
      <c r="J22" s="123"/>
      <c r="K22" s="126">
        <v>2751.6609801726463</v>
      </c>
      <c r="L22" s="124">
        <v>2.4054586431396376E-2</v>
      </c>
      <c r="M22" s="127">
        <v>183.92179359934929</v>
      </c>
      <c r="N22" s="128">
        <v>4.331807049302526</v>
      </c>
      <c r="O22" s="129">
        <v>1.3</v>
      </c>
      <c r="P22" s="219"/>
      <c r="Q22" s="173"/>
      <c r="R22" s="183"/>
      <c r="S22" s="199" t="e">
        <f t="shared" si="2"/>
        <v>#REF!</v>
      </c>
      <c r="T22" s="200" t="e">
        <f t="shared" si="3"/>
        <v>#REF!</v>
      </c>
      <c r="U22" s="186"/>
      <c r="V22" s="417">
        <f t="shared" si="4"/>
        <v>900.07179410207902</v>
      </c>
      <c r="W22" s="418">
        <f t="shared" si="5"/>
        <v>587.55212564843805</v>
      </c>
      <c r="X22" s="202">
        <f t="shared" si="10"/>
        <v>533.64966543912703</v>
      </c>
      <c r="Y22" s="191"/>
      <c r="Z22" s="203">
        <f t="shared" si="6"/>
        <v>1.25</v>
      </c>
      <c r="AA22" s="198">
        <f t="shared" si="7"/>
        <v>1.875</v>
      </c>
      <c r="AB22" s="204">
        <f t="shared" si="8"/>
        <v>10</v>
      </c>
      <c r="AD22" s="203">
        <f t="shared" si="9"/>
        <v>1.5625</v>
      </c>
    </row>
    <row r="23" spans="1:30" ht="15.5" x14ac:dyDescent="0.25">
      <c r="A23" s="103"/>
      <c r="B23" s="131">
        <v>17</v>
      </c>
      <c r="C23" s="132"/>
      <c r="D23" s="133" t="str">
        <f t="shared" ref="D23:D31" si="11">IF(ISBLANK(C23),"",VLOOKUP(C23,第5月ＴＡ,2,FALSE))</f>
        <v/>
      </c>
      <c r="E23" s="350" t="str">
        <f t="shared" ref="E23:E25" si="12">IF($I$6="Ⅰ",S23,IF($I$6="Ⅱ",T23,IF($I$6="Ⅲ",U23,"")))</f>
        <v/>
      </c>
      <c r="F23" s="353"/>
      <c r="G23" s="135"/>
      <c r="H23" s="132" t="s">
        <v>74</v>
      </c>
      <c r="I23" s="136" t="s">
        <v>74</v>
      </c>
      <c r="J23" s="134"/>
      <c r="K23" s="137" t="s">
        <v>74</v>
      </c>
      <c r="L23" s="135" t="s">
        <v>74</v>
      </c>
      <c r="M23" s="138" t="s">
        <v>74</v>
      </c>
      <c r="N23" s="139" t="s">
        <v>74</v>
      </c>
      <c r="O23" s="140"/>
      <c r="P23" s="174"/>
      <c r="Q23" s="142"/>
      <c r="R23" s="183"/>
      <c r="S23" s="199" t="str">
        <f t="shared" si="2"/>
        <v/>
      </c>
      <c r="T23" s="200" t="str">
        <f t="shared" si="3"/>
        <v/>
      </c>
      <c r="U23" s="186"/>
      <c r="V23" s="417" t="str">
        <f t="shared" si="4"/>
        <v/>
      </c>
      <c r="W23" s="418" t="str">
        <f t="shared" si="5"/>
        <v/>
      </c>
      <c r="X23" s="202" t="str">
        <f t="shared" si="10"/>
        <v/>
      </c>
      <c r="Y23" s="191"/>
      <c r="Z23" s="203">
        <f t="shared" si="6"/>
        <v>0</v>
      </c>
      <c r="AA23" s="198">
        <f t="shared" si="7"/>
        <v>0</v>
      </c>
      <c r="AB23" s="204">
        <f t="shared" si="8"/>
        <v>8</v>
      </c>
      <c r="AD23" s="203" t="str">
        <f t="shared" si="9"/>
        <v/>
      </c>
    </row>
    <row r="24" spans="1:30" ht="15.5" x14ac:dyDescent="0.25">
      <c r="A24" s="103"/>
      <c r="B24" s="172">
        <v>18</v>
      </c>
      <c r="C24" s="132">
        <v>6732</v>
      </c>
      <c r="D24" s="133" t="str">
        <f t="shared" si="11"/>
        <v>アイデアル</v>
      </c>
      <c r="E24" s="350" t="e">
        <f t="shared" si="12"/>
        <v>#REF!</v>
      </c>
      <c r="F24" s="134"/>
      <c r="G24" s="135"/>
      <c r="H24" s="132" t="s">
        <v>74</v>
      </c>
      <c r="I24" s="136">
        <v>571.993913255998</v>
      </c>
      <c r="J24" s="134"/>
      <c r="K24" s="137" t="s">
        <v>74</v>
      </c>
      <c r="L24" s="135" t="s">
        <v>74</v>
      </c>
      <c r="M24" s="138" t="s">
        <v>74</v>
      </c>
      <c r="N24" s="139" t="s">
        <v>74</v>
      </c>
      <c r="O24" s="140">
        <v>10.650000000000002</v>
      </c>
      <c r="P24" s="175" t="s">
        <v>316</v>
      </c>
      <c r="Q24" s="142"/>
      <c r="R24" s="183"/>
      <c r="S24" s="199" t="e">
        <f t="shared" si="2"/>
        <v>#REF!</v>
      </c>
      <c r="T24" s="200" t="e">
        <f t="shared" si="3"/>
        <v>#REF!</v>
      </c>
      <c r="U24" s="186"/>
      <c r="V24" s="417">
        <f t="shared" si="4"/>
        <v>855.39381721722395</v>
      </c>
      <c r="W24" s="418">
        <f t="shared" si="5"/>
        <v>571.993913255998</v>
      </c>
      <c r="X24" s="202">
        <f t="shared" si="10"/>
        <v>520.62384764970795</v>
      </c>
      <c r="Y24" s="191"/>
      <c r="Z24" s="203">
        <f t="shared" si="6"/>
        <v>-1.25</v>
      </c>
      <c r="AA24" s="198">
        <f t="shared" si="7"/>
        <v>-1.875</v>
      </c>
      <c r="AB24" s="204">
        <f t="shared" si="8"/>
        <v>6</v>
      </c>
      <c r="AD24" s="203" t="str">
        <f t="shared" si="9"/>
        <v/>
      </c>
    </row>
    <row r="25" spans="1:30" ht="15.5" x14ac:dyDescent="0.25">
      <c r="A25" s="103"/>
      <c r="B25" s="131">
        <v>19</v>
      </c>
      <c r="C25" s="132"/>
      <c r="D25" s="133" t="str">
        <f t="shared" si="11"/>
        <v/>
      </c>
      <c r="E25" s="350" t="str">
        <f t="shared" si="12"/>
        <v/>
      </c>
      <c r="F25" s="134"/>
      <c r="G25" s="135"/>
      <c r="H25" s="132" t="str">
        <f t="shared" ref="H25:H26" si="13">IFERROR(IF(G25-$Q$2&lt;=0,"",(G25-$Q$2)*86400),"")</f>
        <v/>
      </c>
      <c r="I25" s="136" t="str">
        <f t="shared" ref="I25:I26" si="14">IF($I$6="Ⅰ",V25,IF($I$6="Ⅱ",W25,IF($I$6="Ⅲ",X25,"")))</f>
        <v/>
      </c>
      <c r="J25" s="134"/>
      <c r="K25" s="137" t="str">
        <f t="shared" ref="K25:K26" si="15">IFERROR(H25*(1+0.01*J25)-I25*$N$3,"")</f>
        <v/>
      </c>
      <c r="L25" s="135" t="str">
        <f t="shared" ref="L25:L26" si="16">IFERROR((K25-$K$7)/86400,"")</f>
        <v/>
      </c>
      <c r="M25" s="138" t="str">
        <f t="shared" ref="M25:M26" si="17">IFERROR((K25-$K$7)/$N$3,"")</f>
        <v/>
      </c>
      <c r="N25" s="139" t="str">
        <f t="shared" ref="N25:N26" si="18">IFERROR($N$3/(H25/3600),"")</f>
        <v/>
      </c>
      <c r="O25" s="140"/>
      <c r="P25" s="175"/>
      <c r="Q25" s="142"/>
      <c r="R25" s="183"/>
      <c r="S25" s="199" t="str">
        <f t="shared" si="2"/>
        <v/>
      </c>
      <c r="T25" s="200" t="str">
        <f t="shared" si="3"/>
        <v/>
      </c>
      <c r="U25" s="186"/>
      <c r="V25" s="417" t="str">
        <f t="shared" si="4"/>
        <v/>
      </c>
      <c r="W25" s="418" t="str">
        <f t="shared" si="5"/>
        <v/>
      </c>
      <c r="X25" s="202" t="str">
        <f t="shared" si="10"/>
        <v/>
      </c>
      <c r="Y25" s="191"/>
      <c r="Z25" s="203">
        <f t="shared" si="6"/>
        <v>-2.5</v>
      </c>
      <c r="AA25" s="198">
        <f t="shared" si="7"/>
        <v>-3.75</v>
      </c>
      <c r="AB25" s="204">
        <f t="shared" si="8"/>
        <v>4</v>
      </c>
      <c r="AD25" s="203" t="str">
        <f t="shared" si="9"/>
        <v/>
      </c>
    </row>
    <row r="26" spans="1:30" ht="15.5" x14ac:dyDescent="0.25">
      <c r="A26" s="103"/>
      <c r="B26" s="143">
        <v>20</v>
      </c>
      <c r="C26" s="144"/>
      <c r="D26" s="145"/>
      <c r="E26" s="351" t="str">
        <f t="shared" ref="E26" si="19">IF($I$6="Ⅰ",S26,IF($I$6="Ⅱ",T26,IF($I$6="Ⅲ",U26,"")))</f>
        <v/>
      </c>
      <c r="F26" s="146"/>
      <c r="G26" s="147"/>
      <c r="H26" s="144" t="str">
        <f t="shared" si="13"/>
        <v/>
      </c>
      <c r="I26" s="158" t="str">
        <f t="shared" si="14"/>
        <v/>
      </c>
      <c r="J26" s="159"/>
      <c r="K26" s="160" t="str">
        <f t="shared" si="15"/>
        <v/>
      </c>
      <c r="L26" s="147" t="str">
        <f t="shared" si="16"/>
        <v/>
      </c>
      <c r="M26" s="161" t="str">
        <f t="shared" si="17"/>
        <v/>
      </c>
      <c r="N26" s="162" t="str">
        <f t="shared" si="18"/>
        <v/>
      </c>
      <c r="O26" s="163"/>
      <c r="P26" s="176"/>
      <c r="Q26" s="157"/>
      <c r="R26" s="183"/>
      <c r="S26" s="199" t="str">
        <f t="shared" si="2"/>
        <v/>
      </c>
      <c r="T26" s="200" t="str">
        <f t="shared" si="3"/>
        <v/>
      </c>
      <c r="U26" s="186"/>
      <c r="V26" s="417" t="str">
        <f t="shared" si="4"/>
        <v/>
      </c>
      <c r="W26" s="418" t="str">
        <f t="shared" si="5"/>
        <v/>
      </c>
      <c r="X26" s="202" t="str">
        <f t="shared" si="10"/>
        <v/>
      </c>
      <c r="Y26" s="191"/>
      <c r="Z26" s="203">
        <f t="shared" si="6"/>
        <v>-3.75</v>
      </c>
      <c r="AA26" s="198">
        <f t="shared" si="7"/>
        <v>-5.625</v>
      </c>
      <c r="AB26" s="204">
        <f t="shared" si="8"/>
        <v>2</v>
      </c>
      <c r="AD26" s="203" t="str">
        <f t="shared" si="9"/>
        <v/>
      </c>
    </row>
    <row r="27" spans="1:30" ht="15.5" x14ac:dyDescent="0.25">
      <c r="A27" s="103"/>
      <c r="B27" s="172"/>
      <c r="C27" s="164"/>
      <c r="D27" s="177" t="str">
        <f t="shared" si="11"/>
        <v/>
      </c>
      <c r="E27" s="166"/>
      <c r="F27" s="166"/>
      <c r="G27" s="168"/>
      <c r="H27" s="121" t="str">
        <f>IFERROR(IF(G27-$Q$2&lt;=0,"",(G27-$Q$2)*86400),"")</f>
        <v/>
      </c>
      <c r="I27" s="125"/>
      <c r="J27" s="123"/>
      <c r="K27" s="126" t="str">
        <f>IFERROR(H27*(1+0.01*J27)-I27*$N$3,"")</f>
        <v/>
      </c>
      <c r="L27" s="124" t="str">
        <f>IFERROR((K27-$K$7)/86400,"")</f>
        <v/>
      </c>
      <c r="M27" s="127" t="str">
        <f>IFERROR((K27-$K$7)/$N$3,"")</f>
        <v/>
      </c>
      <c r="N27" s="128" t="str">
        <f>IFERROR($N$3/(H27/3600),"")</f>
        <v/>
      </c>
      <c r="O27" s="129"/>
      <c r="P27" s="178"/>
      <c r="Q27" s="173"/>
      <c r="R27" s="183"/>
      <c r="S27" s="199" t="str">
        <f t="shared" si="2"/>
        <v/>
      </c>
      <c r="T27" s="200" t="str">
        <f t="shared" si="3"/>
        <v/>
      </c>
      <c r="U27" s="186"/>
      <c r="V27" s="417" t="str">
        <f t="shared" si="4"/>
        <v/>
      </c>
      <c r="W27" s="418" t="str">
        <f t="shared" si="5"/>
        <v/>
      </c>
      <c r="X27" s="202" t="str">
        <f t="shared" si="10"/>
        <v/>
      </c>
      <c r="Y27" s="191"/>
      <c r="Z27" s="203" t="str">
        <f t="shared" si="6"/>
        <v/>
      </c>
      <c r="AA27" s="198" t="str">
        <f t="shared" si="7"/>
        <v/>
      </c>
      <c r="AB27" s="204" t="str">
        <f t="shared" si="8"/>
        <v/>
      </c>
      <c r="AD27" s="203" t="str">
        <f t="shared" si="9"/>
        <v/>
      </c>
    </row>
    <row r="28" spans="1:30" ht="14.25" customHeight="1" x14ac:dyDescent="0.25">
      <c r="A28" s="103"/>
      <c r="B28" s="131"/>
      <c r="C28" s="132"/>
      <c r="D28" s="133" t="str">
        <f t="shared" si="11"/>
        <v/>
      </c>
      <c r="E28" s="134"/>
      <c r="F28" s="134"/>
      <c r="G28" s="135"/>
      <c r="H28" s="132"/>
      <c r="I28" s="136"/>
      <c r="J28" s="134"/>
      <c r="K28" s="137"/>
      <c r="L28" s="135"/>
      <c r="M28" s="138"/>
      <c r="N28" s="139"/>
      <c r="O28" s="140"/>
      <c r="P28" s="179"/>
      <c r="Q28" s="142"/>
      <c r="R28" s="183"/>
      <c r="S28" s="199" t="str">
        <f t="shared" si="2"/>
        <v/>
      </c>
      <c r="T28" s="200" t="str">
        <f t="shared" si="3"/>
        <v/>
      </c>
      <c r="U28" s="186"/>
      <c r="V28" s="417" t="str">
        <f t="shared" si="4"/>
        <v/>
      </c>
      <c r="W28" s="418" t="str">
        <f t="shared" si="5"/>
        <v/>
      </c>
      <c r="X28" s="202" t="str">
        <f t="shared" si="10"/>
        <v/>
      </c>
      <c r="Y28" s="191"/>
      <c r="Z28" s="203" t="str">
        <f t="shared" si="6"/>
        <v/>
      </c>
      <c r="AA28" s="198" t="str">
        <f t="shared" si="7"/>
        <v/>
      </c>
      <c r="AB28" s="204" t="str">
        <f t="shared" si="8"/>
        <v/>
      </c>
      <c r="AD28" s="203" t="str">
        <f t="shared" si="9"/>
        <v/>
      </c>
    </row>
    <row r="29" spans="1:30" ht="15.5" x14ac:dyDescent="0.25">
      <c r="A29" s="103"/>
      <c r="B29" s="131"/>
      <c r="C29" s="132"/>
      <c r="D29" s="133" t="str">
        <f t="shared" si="11"/>
        <v/>
      </c>
      <c r="E29" s="134"/>
      <c r="F29" s="134"/>
      <c r="G29" s="135"/>
      <c r="H29" s="132"/>
      <c r="I29" s="136"/>
      <c r="J29" s="134"/>
      <c r="K29" s="137"/>
      <c r="L29" s="135"/>
      <c r="M29" s="138"/>
      <c r="N29" s="139"/>
      <c r="O29" s="140"/>
      <c r="P29" s="175"/>
      <c r="Q29" s="142"/>
      <c r="R29" s="183"/>
      <c r="S29" s="199" t="str">
        <f t="shared" si="2"/>
        <v/>
      </c>
      <c r="T29" s="200" t="str">
        <f t="shared" si="3"/>
        <v/>
      </c>
      <c r="U29" s="186"/>
      <c r="V29" s="417" t="str">
        <f t="shared" si="4"/>
        <v/>
      </c>
      <c r="W29" s="418" t="str">
        <f t="shared" si="5"/>
        <v/>
      </c>
      <c r="X29" s="202" t="str">
        <f t="shared" si="10"/>
        <v/>
      </c>
      <c r="Y29" s="191"/>
      <c r="Z29" s="203" t="str">
        <f t="shared" si="6"/>
        <v/>
      </c>
      <c r="AA29" s="198" t="str">
        <f t="shared" si="7"/>
        <v/>
      </c>
      <c r="AB29" s="204" t="str">
        <f t="shared" si="8"/>
        <v/>
      </c>
      <c r="AD29" s="203" t="str">
        <f t="shared" si="9"/>
        <v/>
      </c>
    </row>
    <row r="30" spans="1:30" ht="14.25" customHeight="1" x14ac:dyDescent="0.25">
      <c r="A30" s="103"/>
      <c r="B30" s="131"/>
      <c r="C30" s="132"/>
      <c r="D30" s="133" t="str">
        <f t="shared" si="11"/>
        <v/>
      </c>
      <c r="E30" s="134"/>
      <c r="F30" s="134"/>
      <c r="G30" s="135"/>
      <c r="H30" s="132"/>
      <c r="I30" s="136"/>
      <c r="J30" s="134"/>
      <c r="K30" s="137"/>
      <c r="L30" s="135"/>
      <c r="M30" s="138"/>
      <c r="N30" s="139"/>
      <c r="O30" s="140"/>
      <c r="P30" s="175"/>
      <c r="Q30" s="142"/>
      <c r="R30" s="183"/>
      <c r="S30" s="199" t="str">
        <f t="shared" si="2"/>
        <v/>
      </c>
      <c r="T30" s="200" t="str">
        <f t="shared" si="3"/>
        <v/>
      </c>
      <c r="U30" s="186"/>
      <c r="V30" s="430" t="str">
        <f t="shared" si="4"/>
        <v/>
      </c>
      <c r="W30" s="418" t="str">
        <f t="shared" si="5"/>
        <v/>
      </c>
      <c r="X30" s="431" t="str">
        <f t="shared" si="10"/>
        <v/>
      </c>
      <c r="Y30" s="191"/>
      <c r="Z30" s="203" t="str">
        <f t="shared" si="6"/>
        <v/>
      </c>
      <c r="AA30" s="198" t="str">
        <f t="shared" si="7"/>
        <v/>
      </c>
      <c r="AB30" s="204" t="str">
        <f t="shared" si="8"/>
        <v/>
      </c>
      <c r="AD30" s="203" t="str">
        <f t="shared" si="9"/>
        <v/>
      </c>
    </row>
    <row r="31" spans="1:30" ht="16" thickBot="1" x14ac:dyDescent="0.3">
      <c r="A31" s="103"/>
      <c r="B31" s="131"/>
      <c r="C31" s="132"/>
      <c r="D31" s="145" t="str">
        <f t="shared" si="11"/>
        <v/>
      </c>
      <c r="E31" s="146"/>
      <c r="F31" s="134"/>
      <c r="G31" s="135"/>
      <c r="H31" s="144" t="str">
        <f>IFERROR(IF(G31-$Q$2&lt;=0,"",(G31-$Q$2)*86400),"")</f>
        <v/>
      </c>
      <c r="I31" s="158" t="str">
        <f>IF($I$6="Ⅰ",V31,IF($I$6="Ⅱ",W31,IF($I$6="Ⅲ",X31,"")))</f>
        <v/>
      </c>
      <c r="J31" s="146"/>
      <c r="K31" s="160" t="str">
        <f>IFERROR(H31*(1+0.01*J31)-I31*$N$3,"")</f>
        <v/>
      </c>
      <c r="L31" s="147" t="str">
        <f>IFERROR((K31-$K$7)/86400,"")</f>
        <v/>
      </c>
      <c r="M31" s="161" t="str">
        <f>IFERROR((K31-$K$7)/$N$3,"")</f>
        <v/>
      </c>
      <c r="N31" s="162" t="str">
        <f>IFERROR($N$3/(H31/3600),"")</f>
        <v/>
      </c>
      <c r="O31" s="163" t="str">
        <f>IF($O$6="MAX=20",Z31,IF($O$6="MAX=30",AA31,IF($O$6="MAX=40",AB31,"")))</f>
        <v/>
      </c>
      <c r="P31" s="176"/>
      <c r="Q31" s="157"/>
      <c r="R31" s="183"/>
      <c r="S31" s="205" t="str">
        <f t="shared" si="2"/>
        <v/>
      </c>
      <c r="T31" s="206" t="str">
        <f t="shared" si="3"/>
        <v/>
      </c>
      <c r="U31" s="186"/>
      <c r="V31" s="427" t="str">
        <f t="shared" si="4"/>
        <v/>
      </c>
      <c r="W31" s="429" t="str">
        <f t="shared" si="5"/>
        <v/>
      </c>
      <c r="X31" s="428" t="str">
        <f t="shared" si="10"/>
        <v/>
      </c>
      <c r="Y31" s="191"/>
      <c r="Z31" s="211" t="str">
        <f t="shared" si="6"/>
        <v/>
      </c>
      <c r="AA31" s="212" t="str">
        <f t="shared" si="7"/>
        <v/>
      </c>
      <c r="AB31" s="213" t="str">
        <f t="shared" si="8"/>
        <v/>
      </c>
      <c r="AD31" s="203" t="str">
        <f t="shared" si="9"/>
        <v/>
      </c>
    </row>
    <row r="32" spans="1:30" ht="15" customHeight="1" x14ac:dyDescent="0.25">
      <c r="A32" s="103"/>
      <c r="B32" s="580" t="s">
        <v>203</v>
      </c>
      <c r="C32" s="581"/>
      <c r="D32" s="582"/>
      <c r="E32" s="180" t="s">
        <v>159</v>
      </c>
      <c r="F32" s="589" t="s">
        <v>368</v>
      </c>
      <c r="G32" s="590"/>
      <c r="H32" s="616" t="s">
        <v>367</v>
      </c>
      <c r="I32" s="592"/>
      <c r="J32" s="592"/>
      <c r="K32" s="592"/>
      <c r="L32" s="592"/>
      <c r="M32" s="592"/>
      <c r="N32" s="592"/>
      <c r="O32" s="592"/>
      <c r="P32" s="592"/>
      <c r="Q32" s="593"/>
      <c r="R32" s="94"/>
      <c r="S32" s="186"/>
      <c r="T32" s="186"/>
      <c r="U32" s="186"/>
      <c r="X32" s="186"/>
      <c r="Y32" s="186"/>
    </row>
    <row r="33" spans="1:25" ht="15" customHeight="1" x14ac:dyDescent="0.25">
      <c r="A33" s="103"/>
      <c r="B33" s="583"/>
      <c r="C33" s="584"/>
      <c r="D33" s="585"/>
      <c r="E33" s="181" t="s">
        <v>160</v>
      </c>
      <c r="F33" s="600" t="s">
        <v>360</v>
      </c>
      <c r="G33" s="601"/>
      <c r="H33" s="594"/>
      <c r="I33" s="595"/>
      <c r="J33" s="595"/>
      <c r="K33" s="595"/>
      <c r="L33" s="595"/>
      <c r="M33" s="595"/>
      <c r="N33" s="595"/>
      <c r="O33" s="595"/>
      <c r="P33" s="595"/>
      <c r="Q33" s="596"/>
      <c r="R33" s="94"/>
      <c r="S33" s="186"/>
      <c r="T33" s="186"/>
      <c r="U33" s="186"/>
      <c r="X33" s="186"/>
      <c r="Y33" s="186"/>
    </row>
    <row r="34" spans="1:25" ht="23.25" customHeight="1" x14ac:dyDescent="0.25">
      <c r="A34" s="103"/>
      <c r="B34" s="586"/>
      <c r="C34" s="587"/>
      <c r="D34" s="588"/>
      <c r="E34" s="181" t="s">
        <v>161</v>
      </c>
      <c r="F34" s="600" t="s">
        <v>361</v>
      </c>
      <c r="G34" s="601"/>
      <c r="H34" s="594"/>
      <c r="I34" s="595"/>
      <c r="J34" s="595"/>
      <c r="K34" s="595"/>
      <c r="L34" s="595"/>
      <c r="M34" s="595"/>
      <c r="N34" s="595"/>
      <c r="O34" s="595"/>
      <c r="P34" s="595"/>
      <c r="Q34" s="596"/>
      <c r="R34" s="94"/>
      <c r="S34" s="186"/>
      <c r="T34" s="186"/>
      <c r="U34" s="186"/>
      <c r="X34" s="186"/>
      <c r="Y34" s="186"/>
    </row>
    <row r="35" spans="1:25" ht="22.5" customHeight="1" x14ac:dyDescent="0.25">
      <c r="A35" s="103"/>
      <c r="B35" s="602" t="s">
        <v>204</v>
      </c>
      <c r="C35" s="603"/>
      <c r="D35" s="604"/>
      <c r="E35" s="574" t="s">
        <v>163</v>
      </c>
      <c r="F35" s="600" t="str">
        <f>参照ﾃﾞｰﾀ!AB15</f>
        <v>アイデアル</v>
      </c>
      <c r="G35" s="601"/>
      <c r="H35" s="594"/>
      <c r="I35" s="595"/>
      <c r="J35" s="595"/>
      <c r="K35" s="595"/>
      <c r="L35" s="595"/>
      <c r="M35" s="595"/>
      <c r="N35" s="595"/>
      <c r="O35" s="595"/>
      <c r="P35" s="595"/>
      <c r="Q35" s="596"/>
      <c r="R35" s="94"/>
      <c r="S35" s="186"/>
      <c r="T35" s="186"/>
      <c r="U35" s="186"/>
      <c r="X35" s="186"/>
      <c r="Y35" s="186"/>
    </row>
    <row r="36" spans="1:25" ht="15" customHeight="1" x14ac:dyDescent="0.25">
      <c r="A36" s="103"/>
      <c r="B36" s="605"/>
      <c r="C36" s="606"/>
      <c r="D36" s="607"/>
      <c r="E36" s="613"/>
      <c r="F36" s="600"/>
      <c r="G36" s="601"/>
      <c r="H36" s="594"/>
      <c r="I36" s="595"/>
      <c r="J36" s="595"/>
      <c r="K36" s="595"/>
      <c r="L36" s="595"/>
      <c r="M36" s="595"/>
      <c r="N36" s="595"/>
      <c r="O36" s="595"/>
      <c r="P36" s="595"/>
      <c r="Q36" s="596"/>
      <c r="R36" s="94"/>
      <c r="S36" s="186"/>
      <c r="T36" s="186"/>
      <c r="U36" s="186"/>
      <c r="X36" s="186"/>
      <c r="Y36" s="186"/>
    </row>
    <row r="37" spans="1:25" ht="15" customHeight="1" x14ac:dyDescent="0.25">
      <c r="A37" s="103"/>
      <c r="B37" s="605"/>
      <c r="C37" s="606"/>
      <c r="D37" s="607"/>
      <c r="E37" s="180" t="s">
        <v>162</v>
      </c>
      <c r="F37" s="614">
        <v>46012</v>
      </c>
      <c r="G37" s="590"/>
      <c r="H37" s="594"/>
      <c r="I37" s="595"/>
      <c r="J37" s="595"/>
      <c r="K37" s="595"/>
      <c r="L37" s="595"/>
      <c r="M37" s="595"/>
      <c r="N37" s="595"/>
      <c r="O37" s="595"/>
      <c r="P37" s="595"/>
      <c r="Q37" s="596"/>
      <c r="R37" s="94"/>
      <c r="S37" s="186"/>
      <c r="T37" s="186"/>
      <c r="U37" s="186"/>
      <c r="X37" s="186"/>
      <c r="Y37" s="186"/>
    </row>
    <row r="38" spans="1:25" ht="15" customHeight="1" x14ac:dyDescent="0.25">
      <c r="A38" s="103"/>
      <c r="B38" s="605"/>
      <c r="C38" s="606"/>
      <c r="D38" s="607"/>
      <c r="E38" s="181" t="s">
        <v>175</v>
      </c>
      <c r="F38" s="600" t="s">
        <v>62</v>
      </c>
      <c r="G38" s="601"/>
      <c r="H38" s="594"/>
      <c r="I38" s="595"/>
      <c r="J38" s="595"/>
      <c r="K38" s="595"/>
      <c r="L38" s="595"/>
      <c r="M38" s="595"/>
      <c r="N38" s="595"/>
      <c r="O38" s="595"/>
      <c r="P38" s="595"/>
      <c r="Q38" s="596"/>
      <c r="R38" s="94"/>
      <c r="S38" s="186"/>
      <c r="T38" s="186"/>
      <c r="U38" s="186"/>
      <c r="X38" s="186"/>
      <c r="Y38" s="186"/>
    </row>
    <row r="39" spans="1:25" ht="15" customHeight="1" x14ac:dyDescent="0.25">
      <c r="A39" s="103"/>
      <c r="B39" s="605"/>
      <c r="C39" s="606"/>
      <c r="D39" s="607"/>
      <c r="E39" s="574" t="s">
        <v>163</v>
      </c>
      <c r="F39" s="600" t="str">
        <f>参照ﾃﾞｰﾀ!AB16</f>
        <v>飛車角</v>
      </c>
      <c r="G39" s="601"/>
      <c r="H39" s="594"/>
      <c r="I39" s="595"/>
      <c r="J39" s="595"/>
      <c r="K39" s="595"/>
      <c r="L39" s="595"/>
      <c r="M39" s="595"/>
      <c r="N39" s="595"/>
      <c r="O39" s="595"/>
      <c r="P39" s="595"/>
      <c r="Q39" s="596"/>
      <c r="R39" s="94"/>
      <c r="S39" s="186"/>
      <c r="T39" s="186"/>
      <c r="U39" s="186"/>
      <c r="X39" s="186"/>
      <c r="Y39" s="186"/>
    </row>
    <row r="40" spans="1:25" ht="15" customHeight="1" x14ac:dyDescent="0.25">
      <c r="A40" s="103"/>
      <c r="B40" s="605"/>
      <c r="C40" s="606"/>
      <c r="D40" s="607"/>
      <c r="E40" s="574"/>
      <c r="F40" s="600"/>
      <c r="G40" s="601"/>
      <c r="H40" s="594"/>
      <c r="I40" s="595"/>
      <c r="J40" s="595"/>
      <c r="K40" s="595"/>
      <c r="L40" s="595"/>
      <c r="M40" s="595"/>
      <c r="N40" s="595"/>
      <c r="O40" s="595"/>
      <c r="P40" s="595"/>
      <c r="Q40" s="596"/>
      <c r="R40" s="94"/>
      <c r="S40" s="186"/>
      <c r="T40" s="186"/>
      <c r="U40" s="186"/>
      <c r="X40" s="186"/>
      <c r="Y40" s="186"/>
    </row>
    <row r="41" spans="1:25" ht="11.25" customHeight="1" thickBot="1" x14ac:dyDescent="0.3">
      <c r="A41" s="103"/>
      <c r="B41" s="608"/>
      <c r="C41" s="609"/>
      <c r="D41" s="610"/>
      <c r="E41" s="182"/>
      <c r="F41" s="611"/>
      <c r="G41" s="612"/>
      <c r="H41" s="597"/>
      <c r="I41" s="598"/>
      <c r="J41" s="598"/>
      <c r="K41" s="598"/>
      <c r="L41" s="598"/>
      <c r="M41" s="598"/>
      <c r="N41" s="598"/>
      <c r="O41" s="598"/>
      <c r="P41" s="598"/>
      <c r="Q41" s="599"/>
      <c r="R41" s="94"/>
      <c r="S41" s="186"/>
      <c r="T41" s="186"/>
      <c r="U41" s="186"/>
      <c r="V41" s="186"/>
      <c r="W41" s="186"/>
      <c r="X41" s="186"/>
      <c r="Y41" s="186"/>
    </row>
    <row r="42" spans="1:25" x14ac:dyDescent="0.2">
      <c r="A42" s="103"/>
      <c r="B42" s="103"/>
      <c r="C42" s="103"/>
      <c r="D42" s="103"/>
      <c r="E42" s="103"/>
      <c r="F42" s="103"/>
      <c r="G42" s="103"/>
      <c r="H42" s="103"/>
      <c r="I42" s="103"/>
      <c r="J42" s="103"/>
      <c r="K42" s="103"/>
      <c r="L42" s="103"/>
      <c r="M42" s="103"/>
      <c r="N42" s="103"/>
      <c r="O42" s="103"/>
      <c r="P42" s="103"/>
      <c r="Q42" s="103"/>
      <c r="R42" s="103"/>
    </row>
  </sheetData>
  <sheetProtection algorithmName="SHA-512" hashValue="2EhfYXB15qlBdmWUrF5cl3dbahUQQU3q7vE/jccw//TOAui4PTRdmasgpZJN3n0wTGpI4XmVWu02UDe8JTgI+g==" saltValue="+qAuWPBJ4VWhwbcDfW2Qjg==" spinCount="100000" sheet="1" objects="1" scenarios="1"/>
  <sortState xmlns:xlrd2="http://schemas.microsoft.com/office/spreadsheetml/2017/richdata2" ref="C7:K22">
    <sortCondition ref="K7:K22"/>
  </sortState>
  <mergeCells count="19">
    <mergeCell ref="F38:G38"/>
    <mergeCell ref="E39:E40"/>
    <mergeCell ref="F39:G39"/>
    <mergeCell ref="F40:G40"/>
    <mergeCell ref="D2:F2"/>
    <mergeCell ref="E3:I3"/>
    <mergeCell ref="J3:K3"/>
    <mergeCell ref="P5:Q5"/>
    <mergeCell ref="B32:D34"/>
    <mergeCell ref="F32:G32"/>
    <mergeCell ref="H32:Q41"/>
    <mergeCell ref="F33:G33"/>
    <mergeCell ref="F34:G34"/>
    <mergeCell ref="B35:D41"/>
    <mergeCell ref="F41:G41"/>
    <mergeCell ref="E35:E36"/>
    <mergeCell ref="F35:G35"/>
    <mergeCell ref="F36:G36"/>
    <mergeCell ref="F37:G37"/>
  </mergeCells>
  <phoneticPr fontId="71"/>
  <dataValidations count="8">
    <dataValidation type="list" allowBlank="1" showInputMessage="1" showErrorMessage="1" sqref="D3" xr:uid="{00000000-0002-0000-0400-000000000000}">
      <formula1>レース番号</formula1>
    </dataValidation>
    <dataValidation type="list" allowBlank="1" showInputMessage="1" showErrorMessage="1" sqref="I6" xr:uid="{00000000-0002-0000-0400-000001000000}">
      <formula1>ＴＡ</formula1>
    </dataValidation>
    <dataValidation type="list" showInputMessage="1" showErrorMessage="1" sqref="E3" xr:uid="{00000000-0002-0000-0400-000002000000}">
      <formula1>レース名</formula1>
    </dataValidation>
    <dataValidation type="list" allowBlank="1" showInputMessage="1" showErrorMessage="1" sqref="N2 F38:G38" xr:uid="{00000000-0002-0000-0400-000003000000}">
      <formula1>コース</formula1>
    </dataValidation>
    <dataValidation type="list" allowBlank="1" showInputMessage="1" showErrorMessage="1" sqref="G2" xr:uid="{00000000-0002-0000-0400-000004000000}">
      <formula1>月</formula1>
    </dataValidation>
    <dataValidation type="list" allowBlank="1" showInputMessage="1" showErrorMessage="1" sqref="J3:K3" xr:uid="{00000000-0002-0000-0400-000005000000}">
      <formula1>暫定</formula1>
    </dataValidation>
    <dataValidation type="list" allowBlank="1" showInputMessage="1" showErrorMessage="1" sqref="Q2" xr:uid="{00000000-0002-0000-0400-000006000000}">
      <formula1>時刻</formula1>
    </dataValidation>
    <dataValidation type="list" allowBlank="1" showInputMessage="1" showErrorMessage="1" sqref="P2 F37:G37" xr:uid="{00000000-0002-0000-0400-000007000000}">
      <formula1>開催日</formula1>
    </dataValidation>
  </dataValidations>
  <pageMargins left="0.31496062992125984" right="0" top="0.35433070866141736" bottom="0.19685039370078741" header="0" footer="0"/>
  <pageSetup paperSize="9" scale="91"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42"/>
  <sheetViews>
    <sheetView zoomScale="85" zoomScaleNormal="85" workbookViewId="0">
      <selection activeCell="M19" sqref="M19"/>
    </sheetView>
  </sheetViews>
  <sheetFormatPr defaultColWidth="9" defaultRowHeight="13" x14ac:dyDescent="0.2"/>
  <cols>
    <col min="1" max="1" width="1.7265625" style="185" customWidth="1"/>
    <col min="2" max="2" width="5" style="185" customWidth="1"/>
    <col min="3" max="3" width="7" style="185" customWidth="1"/>
    <col min="4" max="4" width="18" style="185" customWidth="1"/>
    <col min="5" max="5" width="8" style="185" hidden="1" customWidth="1"/>
    <col min="6" max="6" width="5" style="185" customWidth="1"/>
    <col min="7" max="7" width="10.90625" style="185" customWidth="1"/>
    <col min="8" max="8" width="8.36328125" style="185" customWidth="1"/>
    <col min="9" max="9" width="8.6328125" style="185" customWidth="1"/>
    <col min="10" max="10" width="5" style="185" customWidth="1"/>
    <col min="11" max="11" width="8.453125" style="185" customWidth="1"/>
    <col min="12" max="12" width="10.6328125" style="185" bestFit="1" customWidth="1"/>
    <col min="13" max="13" width="9.453125" style="185" customWidth="1"/>
    <col min="14" max="14" width="7.90625" style="185" customWidth="1"/>
    <col min="15" max="15" width="8" style="185" customWidth="1"/>
    <col min="16" max="16" width="12" style="185" bestFit="1" customWidth="1"/>
    <col min="17" max="17" width="11.6328125" style="185" customWidth="1"/>
    <col min="18" max="18" width="4.90625" style="185" customWidth="1"/>
    <col min="19" max="21" width="7.6328125" style="185" hidden="1" customWidth="1"/>
    <col min="22" max="22" width="8.453125" style="185" customWidth="1"/>
    <col min="23" max="24" width="7.6328125" style="185" customWidth="1"/>
    <col min="25" max="25" width="4.453125" style="185" customWidth="1"/>
    <col min="26" max="28" width="8" style="185" customWidth="1"/>
    <col min="29" max="16384" width="9" style="185"/>
  </cols>
  <sheetData>
    <row r="1" spans="1:28" ht="9.75" customHeight="1" thickBot="1" x14ac:dyDescent="0.25">
      <c r="A1" s="103"/>
      <c r="B1" s="103"/>
      <c r="C1" s="103"/>
      <c r="D1" s="103"/>
      <c r="E1" s="103"/>
      <c r="F1" s="103"/>
      <c r="G1" s="103"/>
      <c r="H1" s="103"/>
      <c r="I1" s="103"/>
      <c r="J1" s="103"/>
      <c r="K1" s="103"/>
      <c r="L1" s="103"/>
      <c r="M1" s="103"/>
      <c r="N1" s="103"/>
      <c r="O1" s="103"/>
      <c r="P1" s="103"/>
      <c r="Q1" s="103"/>
      <c r="R1" s="103"/>
    </row>
    <row r="2" spans="1:28" ht="21" x14ac:dyDescent="0.3">
      <c r="A2" s="103"/>
      <c r="B2" s="94"/>
      <c r="C2" s="95"/>
      <c r="D2" s="575" t="str">
        <f>参照ﾃﾞｰﾀ!F4</f>
        <v>2025年</v>
      </c>
      <c r="E2" s="575"/>
      <c r="F2" s="575"/>
      <c r="G2" s="96" t="s">
        <v>174</v>
      </c>
      <c r="H2" s="338"/>
      <c r="I2" s="98"/>
      <c r="J2" s="94"/>
      <c r="K2" s="99"/>
      <c r="L2" s="94"/>
      <c r="M2" s="100" t="s">
        <v>40</v>
      </c>
      <c r="N2" s="101" t="s">
        <v>62</v>
      </c>
      <c r="O2" s="102" t="s">
        <v>42</v>
      </c>
      <c r="P2" s="230">
        <v>46012</v>
      </c>
      <c r="Q2" s="231">
        <v>0.4375</v>
      </c>
      <c r="R2" s="94"/>
      <c r="S2" s="187" t="s">
        <v>2</v>
      </c>
      <c r="T2" s="186"/>
      <c r="U2" s="186"/>
      <c r="V2" s="187" t="str">
        <f>参照ＴＡ!AP3</f>
        <v>2025年</v>
      </c>
      <c r="W2" s="187" t="str">
        <f>参照ＴＡ!AR3</f>
        <v>12月</v>
      </c>
      <c r="X2" s="186"/>
      <c r="Y2" s="186"/>
    </row>
    <row r="3" spans="1:28" ht="21.75" customHeight="1" thickBot="1" x14ac:dyDescent="0.35">
      <c r="A3" s="103"/>
      <c r="B3" s="94"/>
      <c r="C3" s="103"/>
      <c r="D3" s="104" t="s">
        <v>274</v>
      </c>
      <c r="E3" s="615" t="s">
        <v>52</v>
      </c>
      <c r="F3" s="615"/>
      <c r="G3" s="615"/>
      <c r="H3" s="615"/>
      <c r="I3" s="615"/>
      <c r="J3" s="577" t="s">
        <v>72</v>
      </c>
      <c r="K3" s="577"/>
      <c r="L3" s="94"/>
      <c r="M3" s="105" t="s">
        <v>63</v>
      </c>
      <c r="N3" s="106">
        <f>IF(ISBLANK(N2),"",VLOOKUP(N2,コース・距離,2,FALSE))</f>
        <v>11.3</v>
      </c>
      <c r="O3" s="107" t="s">
        <v>0</v>
      </c>
      <c r="P3" s="108"/>
      <c r="Q3" s="109" t="s">
        <v>1</v>
      </c>
      <c r="R3" s="94"/>
      <c r="S3" s="186" t="s">
        <v>193</v>
      </c>
      <c r="T3" s="186"/>
      <c r="U3" s="186"/>
      <c r="V3" s="187" t="s">
        <v>2</v>
      </c>
      <c r="W3" s="186"/>
      <c r="X3" s="186"/>
      <c r="Y3" s="186"/>
      <c r="Z3" s="188" t="s">
        <v>64</v>
      </c>
    </row>
    <row r="4" spans="1:28" ht="7.5" customHeight="1" thickBot="1" x14ac:dyDescent="0.3">
      <c r="A4" s="103"/>
      <c r="B4" s="94"/>
      <c r="C4" s="94"/>
      <c r="D4" s="94"/>
      <c r="E4" s="94"/>
      <c r="F4" s="94"/>
      <c r="G4" s="94"/>
      <c r="H4" s="94"/>
      <c r="I4" s="94"/>
      <c r="J4" s="94"/>
      <c r="K4" s="94"/>
      <c r="L4" s="94"/>
      <c r="M4" s="94"/>
      <c r="N4" s="94"/>
      <c r="O4" s="94"/>
      <c r="P4" s="94"/>
      <c r="Q4" s="94"/>
      <c r="R4" s="94"/>
      <c r="S4" s="186"/>
      <c r="T4" s="186"/>
      <c r="U4" s="186"/>
      <c r="V4" s="189"/>
      <c r="W4" s="186"/>
      <c r="X4" s="186"/>
      <c r="Y4" s="186"/>
    </row>
    <row r="5" spans="1:28" ht="14" x14ac:dyDescent="0.2">
      <c r="A5" s="103"/>
      <c r="B5" s="110" t="s">
        <v>3</v>
      </c>
      <c r="C5" s="111" t="s">
        <v>4</v>
      </c>
      <c r="D5" s="111" t="s">
        <v>5</v>
      </c>
      <c r="E5" s="111" t="s">
        <v>6</v>
      </c>
      <c r="F5" s="111" t="s">
        <v>7</v>
      </c>
      <c r="G5" s="111" t="s">
        <v>8</v>
      </c>
      <c r="H5" s="111" t="s">
        <v>9</v>
      </c>
      <c r="I5" s="111" t="s">
        <v>10</v>
      </c>
      <c r="J5" s="111" t="s">
        <v>11</v>
      </c>
      <c r="K5" s="111" t="s">
        <v>12</v>
      </c>
      <c r="L5" s="112" t="s">
        <v>205</v>
      </c>
      <c r="M5" s="112" t="s">
        <v>202</v>
      </c>
      <c r="N5" s="111" t="s">
        <v>59</v>
      </c>
      <c r="O5" s="111" t="s">
        <v>13</v>
      </c>
      <c r="P5" s="578" t="s">
        <v>58</v>
      </c>
      <c r="Q5" s="579"/>
      <c r="R5" s="183"/>
      <c r="S5" s="192" t="s">
        <v>10</v>
      </c>
      <c r="T5" s="190" t="s">
        <v>10</v>
      </c>
      <c r="U5" s="193" t="s">
        <v>10</v>
      </c>
      <c r="V5" s="192" t="s">
        <v>10</v>
      </c>
      <c r="W5" s="190" t="s">
        <v>10</v>
      </c>
      <c r="X5" s="193" t="s">
        <v>10</v>
      </c>
      <c r="Y5" s="191"/>
      <c r="Z5" s="192" t="s">
        <v>13</v>
      </c>
      <c r="AA5" s="190" t="s">
        <v>13</v>
      </c>
      <c r="AB5" s="193" t="s">
        <v>13</v>
      </c>
    </row>
    <row r="6" spans="1:28" ht="14" x14ac:dyDescent="0.2">
      <c r="A6" s="103"/>
      <c r="B6" s="113"/>
      <c r="C6" s="114" t="s">
        <v>14</v>
      </c>
      <c r="D6" s="115"/>
      <c r="E6" s="116" t="s">
        <v>15</v>
      </c>
      <c r="F6" s="116"/>
      <c r="G6" s="114" t="s">
        <v>16</v>
      </c>
      <c r="H6" s="116" t="s">
        <v>17</v>
      </c>
      <c r="I6" s="114"/>
      <c r="J6" s="116" t="s">
        <v>18</v>
      </c>
      <c r="K6" s="116" t="s">
        <v>17</v>
      </c>
      <c r="L6" s="114" t="s">
        <v>16</v>
      </c>
      <c r="M6" s="116" t="s">
        <v>34</v>
      </c>
      <c r="N6" s="116" t="s">
        <v>19</v>
      </c>
      <c r="O6" s="117" t="str">
        <f>"MAX=20"</f>
        <v>MAX=20</v>
      </c>
      <c r="P6" s="118"/>
      <c r="Q6" s="119"/>
      <c r="R6" s="184"/>
      <c r="S6" s="196" t="s">
        <v>20</v>
      </c>
      <c r="T6" s="194" t="s">
        <v>22</v>
      </c>
      <c r="U6" s="197" t="s">
        <v>21</v>
      </c>
      <c r="V6" s="196" t="s">
        <v>20</v>
      </c>
      <c r="W6" s="194" t="s">
        <v>22</v>
      </c>
      <c r="X6" s="197" t="s">
        <v>21</v>
      </c>
      <c r="Y6" s="195"/>
      <c r="Z6" s="196" t="s">
        <v>66</v>
      </c>
      <c r="AA6" s="194" t="s">
        <v>67</v>
      </c>
      <c r="AB6" s="197" t="s">
        <v>68</v>
      </c>
    </row>
    <row r="7" spans="1:28" ht="14" x14ac:dyDescent="0.2">
      <c r="A7" s="103"/>
      <c r="B7" s="120">
        <v>1</v>
      </c>
      <c r="C7" s="121"/>
      <c r="D7" s="122" t="str">
        <f t="shared" ref="D7:D31" si="0">IF(ISBLANK(C7),"",VLOOKUP(C7,第6月ＴＡ,2,FALSE))</f>
        <v/>
      </c>
      <c r="E7" s="215" t="str">
        <f t="shared" ref="E7:E11" si="1">IF($I$6="Ⅰ",S7,IF($I$6="Ⅱ",T7,IF($I$6="Ⅲ",U7,"")))</f>
        <v/>
      </c>
      <c r="F7" s="123">
        <v>1</v>
      </c>
      <c r="G7" s="124"/>
      <c r="H7" s="121" t="str">
        <f t="shared" ref="H7:H11" si="2">IFERROR(IF(G7-$Q$2&lt;=0,"",(G7-$Q$2)*86400),"")</f>
        <v/>
      </c>
      <c r="I7" s="125" t="str">
        <f t="shared" ref="I7:I11" si="3">IF($I$6="Ⅰ",V7,IF($I$6="Ⅱ",W7,IF($I$6="Ⅲ",X7,"")))</f>
        <v/>
      </c>
      <c r="J7" s="123"/>
      <c r="K7" s="126" t="str">
        <f t="shared" ref="K7:K11" si="4">IFERROR(H7*(1+0.01*J7)-I7*$N$3,"")</f>
        <v/>
      </c>
      <c r="L7" s="124" t="str">
        <f t="shared" ref="L7:L11" si="5">IFERROR((K7-$K$7)/86400,"")</f>
        <v/>
      </c>
      <c r="M7" s="127" t="str">
        <f t="shared" ref="M7:M11" si="6">IFERROR((K7-$K$7)/$N$3,"")</f>
        <v/>
      </c>
      <c r="N7" s="128" t="str">
        <f t="shared" ref="N7:N11" si="7">IFERROR($N$3/(H7/3600),"")</f>
        <v/>
      </c>
      <c r="O7" s="129">
        <f t="shared" ref="O7:O11" si="8">ROUND(IF($O$6="MAX=20",Z7,IF($O$6="MAX=30",AA7,IF($O$6="MAX=40",AB7,""))),1)</f>
        <v>20</v>
      </c>
      <c r="P7" s="327"/>
      <c r="Q7" s="130"/>
      <c r="R7" s="183"/>
      <c r="S7" s="199" t="str">
        <f t="shared" ref="S7:S31" si="9">IF(ISBLANK(C7),"",VLOOKUP(C7,各艇データ,3,FALSE))</f>
        <v/>
      </c>
      <c r="T7" s="200" t="str">
        <f t="shared" ref="T7:T31" si="10">IF(ISBLANK(C7),"",VLOOKUP(C7,各艇データ,4,FALSE))</f>
        <v/>
      </c>
      <c r="U7" s="201" t="str">
        <f t="shared" ref="U7:U31" si="11">IF(ISBLANK(C7),"",VLOOKUP(C7,各艇データ,5,FALSE))</f>
        <v/>
      </c>
      <c r="V7" s="417" t="str">
        <f t="shared" ref="V7:V31" si="12">IF(ISBLANK(C7),"",VLOOKUP(C7,第6月ＴＡ,3,FALSE))</f>
        <v/>
      </c>
      <c r="W7" s="418" t="str">
        <f t="shared" ref="W7:W31" si="13">IF(ISBLANK(C7),"",VLOOKUP(C7,第6月ＴＡ,4,FALSE))</f>
        <v/>
      </c>
      <c r="X7" s="202" t="str">
        <f t="shared" ref="X7:X31" si="14">IF(ISBLANK(C7),"",VLOOKUP(C7,第6月ＴＡ,5,FALSE))</f>
        <v/>
      </c>
      <c r="Y7" s="191"/>
      <c r="Z7" s="203" t="str">
        <f>IF(ISBLANK(B7),"",IFERROR(20*($P$3+1-$B7)/$P$3,"20.0"))</f>
        <v>20.0</v>
      </c>
      <c r="AA7" s="198" t="str">
        <f>IF(ISBLANK(B7),"",IFERROR(30*($P$3+1-$B7)/$P$3,"30.0"))</f>
        <v>30.0</v>
      </c>
      <c r="AB7" s="204">
        <f>IF(ISBLANK(B7),"",IFERROR(30*($P$3-$B7)/($P$3-1)+10,"20.0"))</f>
        <v>40</v>
      </c>
    </row>
    <row r="8" spans="1:28" ht="14" x14ac:dyDescent="0.2">
      <c r="A8" s="103"/>
      <c r="B8" s="131">
        <v>2</v>
      </c>
      <c r="C8" s="132"/>
      <c r="D8" s="133" t="str">
        <f t="shared" si="0"/>
        <v/>
      </c>
      <c r="E8" s="216" t="str">
        <f t="shared" si="1"/>
        <v/>
      </c>
      <c r="F8" s="134">
        <v>2</v>
      </c>
      <c r="G8" s="135"/>
      <c r="H8" s="132" t="str">
        <f t="shared" si="2"/>
        <v/>
      </c>
      <c r="I8" s="136" t="str">
        <f t="shared" si="3"/>
        <v/>
      </c>
      <c r="J8" s="134"/>
      <c r="K8" s="137" t="str">
        <f t="shared" si="4"/>
        <v/>
      </c>
      <c r="L8" s="135" t="str">
        <f t="shared" si="5"/>
        <v/>
      </c>
      <c r="M8" s="138" t="str">
        <f t="shared" si="6"/>
        <v/>
      </c>
      <c r="N8" s="139" t="str">
        <f t="shared" si="7"/>
        <v/>
      </c>
      <c r="O8" s="140">
        <f t="shared" si="8"/>
        <v>20</v>
      </c>
      <c r="P8" s="174"/>
      <c r="Q8" s="142"/>
      <c r="R8" s="183"/>
      <c r="S8" s="199" t="str">
        <f t="shared" si="9"/>
        <v/>
      </c>
      <c r="T8" s="200" t="str">
        <f t="shared" si="10"/>
        <v/>
      </c>
      <c r="U8" s="201" t="str">
        <f t="shared" si="11"/>
        <v/>
      </c>
      <c r="V8" s="417" t="str">
        <f t="shared" si="12"/>
        <v/>
      </c>
      <c r="W8" s="418" t="str">
        <f t="shared" si="13"/>
        <v/>
      </c>
      <c r="X8" s="202" t="str">
        <f t="shared" si="14"/>
        <v/>
      </c>
      <c r="Y8" s="191"/>
      <c r="Z8" s="203" t="str">
        <f t="shared" ref="Z8:Z31" si="15">IF(ISBLANK(B8),"",IFERROR(20*($P$3+1-$B8)/$P$3,"20.0"))</f>
        <v>20.0</v>
      </c>
      <c r="AA8" s="198" t="str">
        <f t="shared" ref="AA8:AA31" si="16">IF(ISBLANK(B8),"",IFERROR(30*($P$3+1-$B8)/$P$3,"30.0"))</f>
        <v>30.0</v>
      </c>
      <c r="AB8" s="204">
        <f t="shared" ref="AB8:AB31" si="17">IF(ISBLANK(B8),"",IFERROR(30*($P$3-$B8)/($P$3-1)+10,"20.0"))</f>
        <v>70</v>
      </c>
    </row>
    <row r="9" spans="1:28" ht="14" x14ac:dyDescent="0.2">
      <c r="A9" s="103"/>
      <c r="B9" s="131">
        <v>3</v>
      </c>
      <c r="C9" s="132"/>
      <c r="D9" s="133" t="str">
        <f t="shared" si="0"/>
        <v/>
      </c>
      <c r="E9" s="216" t="str">
        <f t="shared" si="1"/>
        <v/>
      </c>
      <c r="F9" s="134">
        <v>3</v>
      </c>
      <c r="G9" s="135"/>
      <c r="H9" s="132" t="str">
        <f t="shared" si="2"/>
        <v/>
      </c>
      <c r="I9" s="136" t="str">
        <f t="shared" si="3"/>
        <v/>
      </c>
      <c r="J9" s="134"/>
      <c r="K9" s="137" t="str">
        <f t="shared" si="4"/>
        <v/>
      </c>
      <c r="L9" s="135" t="str">
        <f t="shared" si="5"/>
        <v/>
      </c>
      <c r="M9" s="138" t="str">
        <f t="shared" si="6"/>
        <v/>
      </c>
      <c r="N9" s="139" t="str">
        <f t="shared" si="7"/>
        <v/>
      </c>
      <c r="O9" s="140">
        <f t="shared" si="8"/>
        <v>20</v>
      </c>
      <c r="P9" s="174"/>
      <c r="Q9" s="142"/>
      <c r="R9" s="183"/>
      <c r="S9" s="199" t="str">
        <f t="shared" si="9"/>
        <v/>
      </c>
      <c r="T9" s="200" t="str">
        <f t="shared" si="10"/>
        <v/>
      </c>
      <c r="U9" s="201" t="str">
        <f t="shared" si="11"/>
        <v/>
      </c>
      <c r="V9" s="417" t="str">
        <f t="shared" si="12"/>
        <v/>
      </c>
      <c r="W9" s="418" t="str">
        <f t="shared" si="13"/>
        <v/>
      </c>
      <c r="X9" s="202" t="str">
        <f t="shared" si="14"/>
        <v/>
      </c>
      <c r="Y9" s="191"/>
      <c r="Z9" s="203" t="str">
        <f t="shared" si="15"/>
        <v>20.0</v>
      </c>
      <c r="AA9" s="198" t="str">
        <f t="shared" si="16"/>
        <v>30.0</v>
      </c>
      <c r="AB9" s="204">
        <f t="shared" si="17"/>
        <v>100</v>
      </c>
    </row>
    <row r="10" spans="1:28" ht="14" x14ac:dyDescent="0.2">
      <c r="A10" s="103"/>
      <c r="B10" s="131">
        <v>4</v>
      </c>
      <c r="C10" s="132"/>
      <c r="D10" s="133" t="str">
        <f>IF(ISBLANK(C10),"",VLOOKUP(C10,第6月ＴＡ,2,FALSE))</f>
        <v/>
      </c>
      <c r="E10" s="216" t="str">
        <f t="shared" si="1"/>
        <v/>
      </c>
      <c r="F10" s="134">
        <v>4</v>
      </c>
      <c r="G10" s="135"/>
      <c r="H10" s="132" t="str">
        <f t="shared" si="2"/>
        <v/>
      </c>
      <c r="I10" s="136" t="str">
        <f t="shared" si="3"/>
        <v/>
      </c>
      <c r="J10" s="134"/>
      <c r="K10" s="137" t="str">
        <f t="shared" si="4"/>
        <v/>
      </c>
      <c r="L10" s="135" t="str">
        <f t="shared" si="5"/>
        <v/>
      </c>
      <c r="M10" s="138" t="str">
        <f t="shared" si="6"/>
        <v/>
      </c>
      <c r="N10" s="139" t="str">
        <f t="shared" si="7"/>
        <v/>
      </c>
      <c r="O10" s="140">
        <f t="shared" si="8"/>
        <v>20</v>
      </c>
      <c r="P10" s="141"/>
      <c r="Q10" s="142"/>
      <c r="R10" s="183"/>
      <c r="S10" s="199" t="str">
        <f t="shared" si="9"/>
        <v/>
      </c>
      <c r="T10" s="200" t="str">
        <f t="shared" si="10"/>
        <v/>
      </c>
      <c r="U10" s="201" t="str">
        <f t="shared" si="11"/>
        <v/>
      </c>
      <c r="V10" s="417" t="str">
        <f t="shared" si="12"/>
        <v/>
      </c>
      <c r="W10" s="418" t="str">
        <f t="shared" si="13"/>
        <v/>
      </c>
      <c r="X10" s="202" t="str">
        <f t="shared" si="14"/>
        <v/>
      </c>
      <c r="Y10" s="191"/>
      <c r="Z10" s="203" t="str">
        <f t="shared" si="15"/>
        <v>20.0</v>
      </c>
      <c r="AA10" s="198" t="str">
        <f t="shared" si="16"/>
        <v>30.0</v>
      </c>
      <c r="AB10" s="204">
        <f t="shared" si="17"/>
        <v>130</v>
      </c>
    </row>
    <row r="11" spans="1:28" ht="14" x14ac:dyDescent="0.2">
      <c r="A11" s="103"/>
      <c r="B11" s="143">
        <v>5</v>
      </c>
      <c r="C11" s="144"/>
      <c r="D11" s="145" t="str">
        <f t="shared" si="0"/>
        <v/>
      </c>
      <c r="E11" s="217" t="str">
        <f t="shared" si="1"/>
        <v/>
      </c>
      <c r="F11" s="146">
        <v>5</v>
      </c>
      <c r="G11" s="147"/>
      <c r="H11" s="148" t="str">
        <f t="shared" si="2"/>
        <v/>
      </c>
      <c r="I11" s="149" t="str">
        <f t="shared" si="3"/>
        <v/>
      </c>
      <c r="J11" s="150"/>
      <c r="K11" s="151" t="str">
        <f t="shared" si="4"/>
        <v/>
      </c>
      <c r="L11" s="152" t="str">
        <f t="shared" si="5"/>
        <v/>
      </c>
      <c r="M11" s="153" t="str">
        <f t="shared" si="6"/>
        <v/>
      </c>
      <c r="N11" s="154" t="str">
        <f t="shared" si="7"/>
        <v/>
      </c>
      <c r="O11" s="155">
        <f t="shared" si="8"/>
        <v>20</v>
      </c>
      <c r="P11" s="331"/>
      <c r="Q11" s="157"/>
      <c r="R11" s="183"/>
      <c r="S11" s="199" t="str">
        <f t="shared" si="9"/>
        <v/>
      </c>
      <c r="T11" s="200" t="str">
        <f t="shared" si="10"/>
        <v/>
      </c>
      <c r="U11" s="201" t="str">
        <f t="shared" si="11"/>
        <v/>
      </c>
      <c r="V11" s="417" t="str">
        <f t="shared" si="12"/>
        <v/>
      </c>
      <c r="W11" s="418" t="str">
        <f t="shared" si="13"/>
        <v/>
      </c>
      <c r="X11" s="202" t="str">
        <f t="shared" si="14"/>
        <v/>
      </c>
      <c r="Y11" s="191"/>
      <c r="Z11" s="203" t="str">
        <f t="shared" si="15"/>
        <v>20.0</v>
      </c>
      <c r="AA11" s="198" t="str">
        <f t="shared" si="16"/>
        <v>30.0</v>
      </c>
      <c r="AB11" s="204">
        <f t="shared" si="17"/>
        <v>160</v>
      </c>
    </row>
    <row r="12" spans="1:28" ht="14" x14ac:dyDescent="0.2">
      <c r="A12" s="103"/>
      <c r="B12" s="120">
        <v>6</v>
      </c>
      <c r="C12" s="121"/>
      <c r="D12" s="177" t="str">
        <f t="shared" si="0"/>
        <v/>
      </c>
      <c r="E12" s="215" t="str">
        <f t="shared" ref="E12:E26" si="18">IF($I$6="Ⅰ",S12,IF($I$6="Ⅱ",T12,IF($I$6="Ⅲ",U12,"")))</f>
        <v/>
      </c>
      <c r="F12" s="123">
        <v>6</v>
      </c>
      <c r="G12" s="124"/>
      <c r="H12" s="121" t="str">
        <f t="shared" ref="H12:H26" si="19">IFERROR(IF(G12-$Q$2&lt;=0,"",(G12-$Q$2)*86400),"")</f>
        <v/>
      </c>
      <c r="I12" s="125" t="str">
        <f t="shared" ref="I12:I26" si="20">IF($I$6="Ⅰ",V12,IF($I$6="Ⅱ",W12,IF($I$6="Ⅲ",X12,"")))</f>
        <v/>
      </c>
      <c r="J12" s="123"/>
      <c r="K12" s="126" t="str">
        <f t="shared" ref="K12:K26" si="21">IFERROR(H12*(1+0.01*J12)-I12*$N$3,"")</f>
        <v/>
      </c>
      <c r="L12" s="124" t="str">
        <f t="shared" ref="L12:L26" si="22">IFERROR((K12-$K$7)/86400,"")</f>
        <v/>
      </c>
      <c r="M12" s="127" t="str">
        <f t="shared" ref="M12:M26" si="23">IFERROR((K12-$K$7)/$N$3,"")</f>
        <v/>
      </c>
      <c r="N12" s="128" t="str">
        <f t="shared" ref="N12:N26" si="24">IFERROR($N$3/(H12/3600),"")</f>
        <v/>
      </c>
      <c r="O12" s="129">
        <f t="shared" ref="O12:O26" si="25">ROUND(IF($O$6="MAX=20",Z12,IF($O$6="MAX=30",AA12,IF($O$6="MAX=40",AB12,""))),1)</f>
        <v>20</v>
      </c>
      <c r="P12" s="332"/>
      <c r="Q12" s="130"/>
      <c r="R12" s="183"/>
      <c r="S12" s="199" t="str">
        <f t="shared" si="9"/>
        <v/>
      </c>
      <c r="T12" s="200" t="str">
        <f t="shared" si="10"/>
        <v/>
      </c>
      <c r="U12" s="201" t="str">
        <f t="shared" si="11"/>
        <v/>
      </c>
      <c r="V12" s="417" t="str">
        <f t="shared" si="12"/>
        <v/>
      </c>
      <c r="W12" s="418" t="str">
        <f t="shared" si="13"/>
        <v/>
      </c>
      <c r="X12" s="202" t="str">
        <f t="shared" si="14"/>
        <v/>
      </c>
      <c r="Y12" s="191"/>
      <c r="Z12" s="203" t="str">
        <f t="shared" si="15"/>
        <v>20.0</v>
      </c>
      <c r="AA12" s="198" t="str">
        <f t="shared" si="16"/>
        <v>30.0</v>
      </c>
      <c r="AB12" s="204">
        <f t="shared" si="17"/>
        <v>190</v>
      </c>
    </row>
    <row r="13" spans="1:28" ht="14" x14ac:dyDescent="0.2">
      <c r="A13" s="103"/>
      <c r="B13" s="131">
        <v>7</v>
      </c>
      <c r="C13" s="132"/>
      <c r="D13" s="133" t="str">
        <f t="shared" si="0"/>
        <v/>
      </c>
      <c r="E13" s="216" t="str">
        <f t="shared" si="18"/>
        <v/>
      </c>
      <c r="F13" s="134">
        <v>7</v>
      </c>
      <c r="G13" s="135"/>
      <c r="H13" s="132" t="str">
        <f t="shared" si="19"/>
        <v/>
      </c>
      <c r="I13" s="136" t="str">
        <f t="shared" si="20"/>
        <v/>
      </c>
      <c r="J13" s="134"/>
      <c r="K13" s="137" t="str">
        <f t="shared" si="21"/>
        <v/>
      </c>
      <c r="L13" s="135" t="str">
        <f t="shared" si="22"/>
        <v/>
      </c>
      <c r="M13" s="138" t="str">
        <f t="shared" si="23"/>
        <v/>
      </c>
      <c r="N13" s="139" t="str">
        <f t="shared" si="24"/>
        <v/>
      </c>
      <c r="O13" s="140">
        <f t="shared" si="25"/>
        <v>20</v>
      </c>
      <c r="P13" s="141"/>
      <c r="Q13" s="142"/>
      <c r="R13" s="183"/>
      <c r="S13" s="199" t="str">
        <f t="shared" si="9"/>
        <v/>
      </c>
      <c r="T13" s="200" t="str">
        <f t="shared" si="10"/>
        <v/>
      </c>
      <c r="U13" s="201" t="str">
        <f t="shared" si="11"/>
        <v/>
      </c>
      <c r="V13" s="417" t="str">
        <f t="shared" si="12"/>
        <v/>
      </c>
      <c r="W13" s="418" t="str">
        <f t="shared" si="13"/>
        <v/>
      </c>
      <c r="X13" s="202" t="str">
        <f t="shared" si="14"/>
        <v/>
      </c>
      <c r="Y13" s="191"/>
      <c r="Z13" s="203" t="str">
        <f t="shared" si="15"/>
        <v>20.0</v>
      </c>
      <c r="AA13" s="198" t="str">
        <f t="shared" si="16"/>
        <v>30.0</v>
      </c>
      <c r="AB13" s="204">
        <f t="shared" si="17"/>
        <v>220</v>
      </c>
    </row>
    <row r="14" spans="1:28" ht="14" x14ac:dyDescent="0.2">
      <c r="A14" s="103"/>
      <c r="B14" s="131">
        <v>8</v>
      </c>
      <c r="C14" s="132"/>
      <c r="D14" s="133" t="str">
        <f t="shared" si="0"/>
        <v/>
      </c>
      <c r="E14" s="216" t="str">
        <f t="shared" si="18"/>
        <v/>
      </c>
      <c r="F14" s="134">
        <v>8</v>
      </c>
      <c r="G14" s="135"/>
      <c r="H14" s="132" t="str">
        <f t="shared" si="19"/>
        <v/>
      </c>
      <c r="I14" s="136" t="str">
        <f t="shared" si="20"/>
        <v/>
      </c>
      <c r="J14" s="134"/>
      <c r="K14" s="137" t="str">
        <f t="shared" si="21"/>
        <v/>
      </c>
      <c r="L14" s="135" t="str">
        <f t="shared" si="22"/>
        <v/>
      </c>
      <c r="M14" s="138" t="str">
        <f t="shared" si="23"/>
        <v/>
      </c>
      <c r="N14" s="139" t="str">
        <f t="shared" si="24"/>
        <v/>
      </c>
      <c r="O14" s="140">
        <f t="shared" si="25"/>
        <v>20</v>
      </c>
      <c r="P14" s="174"/>
      <c r="Q14" s="142"/>
      <c r="R14" s="183"/>
      <c r="S14" s="199" t="str">
        <f t="shared" si="9"/>
        <v/>
      </c>
      <c r="T14" s="200" t="str">
        <f t="shared" si="10"/>
        <v/>
      </c>
      <c r="U14" s="201" t="str">
        <f t="shared" si="11"/>
        <v/>
      </c>
      <c r="V14" s="417" t="str">
        <f t="shared" si="12"/>
        <v/>
      </c>
      <c r="W14" s="418" t="str">
        <f t="shared" si="13"/>
        <v/>
      </c>
      <c r="X14" s="202" t="str">
        <f t="shared" si="14"/>
        <v/>
      </c>
      <c r="Y14" s="191"/>
      <c r="Z14" s="203" t="str">
        <f t="shared" si="15"/>
        <v>20.0</v>
      </c>
      <c r="AA14" s="198" t="str">
        <f t="shared" si="16"/>
        <v>30.0</v>
      </c>
      <c r="AB14" s="204">
        <f t="shared" si="17"/>
        <v>250</v>
      </c>
    </row>
    <row r="15" spans="1:28" ht="14" x14ac:dyDescent="0.2">
      <c r="A15" s="103"/>
      <c r="B15" s="131">
        <v>9</v>
      </c>
      <c r="C15" s="132"/>
      <c r="D15" s="133" t="str">
        <f t="shared" si="0"/>
        <v/>
      </c>
      <c r="E15" s="216" t="str">
        <f t="shared" si="18"/>
        <v/>
      </c>
      <c r="F15" s="134">
        <v>9</v>
      </c>
      <c r="G15" s="135"/>
      <c r="H15" s="132" t="str">
        <f t="shared" si="19"/>
        <v/>
      </c>
      <c r="I15" s="136" t="str">
        <f t="shared" si="20"/>
        <v/>
      </c>
      <c r="J15" s="134"/>
      <c r="K15" s="137" t="str">
        <f t="shared" si="21"/>
        <v/>
      </c>
      <c r="L15" s="135" t="str">
        <f t="shared" si="22"/>
        <v/>
      </c>
      <c r="M15" s="138" t="str">
        <f t="shared" si="23"/>
        <v/>
      </c>
      <c r="N15" s="139" t="str">
        <f t="shared" si="24"/>
        <v/>
      </c>
      <c r="O15" s="140">
        <f t="shared" si="25"/>
        <v>20</v>
      </c>
      <c r="P15" s="333"/>
      <c r="Q15" s="142"/>
      <c r="R15" s="183"/>
      <c r="S15" s="199" t="str">
        <f t="shared" si="9"/>
        <v/>
      </c>
      <c r="T15" s="200" t="str">
        <f t="shared" si="10"/>
        <v/>
      </c>
      <c r="U15" s="201" t="str">
        <f t="shared" si="11"/>
        <v/>
      </c>
      <c r="V15" s="417" t="str">
        <f t="shared" si="12"/>
        <v/>
      </c>
      <c r="W15" s="418" t="str">
        <f t="shared" si="13"/>
        <v/>
      </c>
      <c r="X15" s="202" t="str">
        <f t="shared" si="14"/>
        <v/>
      </c>
      <c r="Y15" s="191"/>
      <c r="Z15" s="203" t="str">
        <f t="shared" si="15"/>
        <v>20.0</v>
      </c>
      <c r="AA15" s="198" t="str">
        <f t="shared" si="16"/>
        <v>30.0</v>
      </c>
      <c r="AB15" s="204">
        <f t="shared" si="17"/>
        <v>280</v>
      </c>
    </row>
    <row r="16" spans="1:28" ht="14" x14ac:dyDescent="0.2">
      <c r="A16" s="103"/>
      <c r="B16" s="143">
        <v>10</v>
      </c>
      <c r="C16" s="144"/>
      <c r="D16" s="145" t="str">
        <f t="shared" si="0"/>
        <v/>
      </c>
      <c r="E16" s="217" t="str">
        <f t="shared" si="18"/>
        <v/>
      </c>
      <c r="F16" s="146">
        <v>10</v>
      </c>
      <c r="G16" s="147"/>
      <c r="H16" s="148" t="str">
        <f t="shared" si="19"/>
        <v/>
      </c>
      <c r="I16" s="149" t="str">
        <f t="shared" si="20"/>
        <v/>
      </c>
      <c r="J16" s="150"/>
      <c r="K16" s="151" t="str">
        <f t="shared" si="21"/>
        <v/>
      </c>
      <c r="L16" s="152" t="str">
        <f t="shared" si="22"/>
        <v/>
      </c>
      <c r="M16" s="153" t="str">
        <f t="shared" si="23"/>
        <v/>
      </c>
      <c r="N16" s="154" t="str">
        <f t="shared" si="24"/>
        <v/>
      </c>
      <c r="O16" s="155">
        <f t="shared" si="25"/>
        <v>20</v>
      </c>
      <c r="P16" s="210"/>
      <c r="Q16" s="157"/>
      <c r="R16" s="183"/>
      <c r="S16" s="199" t="str">
        <f t="shared" si="9"/>
        <v/>
      </c>
      <c r="T16" s="200" t="str">
        <f t="shared" si="10"/>
        <v/>
      </c>
      <c r="U16" s="201" t="str">
        <f t="shared" si="11"/>
        <v/>
      </c>
      <c r="V16" s="417" t="str">
        <f t="shared" si="12"/>
        <v/>
      </c>
      <c r="W16" s="418" t="str">
        <f t="shared" si="13"/>
        <v/>
      </c>
      <c r="X16" s="202" t="str">
        <f t="shared" si="14"/>
        <v/>
      </c>
      <c r="Y16" s="191"/>
      <c r="Z16" s="203" t="str">
        <f t="shared" si="15"/>
        <v>20.0</v>
      </c>
      <c r="AA16" s="198" t="str">
        <f t="shared" si="16"/>
        <v>30.0</v>
      </c>
      <c r="AB16" s="204">
        <f t="shared" si="17"/>
        <v>310</v>
      </c>
    </row>
    <row r="17" spans="1:28" ht="14" x14ac:dyDescent="0.2">
      <c r="A17" s="103"/>
      <c r="B17" s="120">
        <v>11</v>
      </c>
      <c r="C17" s="121"/>
      <c r="D17" s="177" t="str">
        <f t="shared" si="0"/>
        <v/>
      </c>
      <c r="E17" s="215" t="str">
        <f t="shared" si="18"/>
        <v/>
      </c>
      <c r="F17" s="123">
        <v>11</v>
      </c>
      <c r="G17" s="124"/>
      <c r="H17" s="121" t="str">
        <f t="shared" si="19"/>
        <v/>
      </c>
      <c r="I17" s="125" t="str">
        <f t="shared" si="20"/>
        <v/>
      </c>
      <c r="J17" s="123"/>
      <c r="K17" s="126" t="str">
        <f t="shared" si="21"/>
        <v/>
      </c>
      <c r="L17" s="124" t="str">
        <f t="shared" si="22"/>
        <v/>
      </c>
      <c r="M17" s="127" t="str">
        <f t="shared" si="23"/>
        <v/>
      </c>
      <c r="N17" s="128" t="str">
        <f t="shared" si="24"/>
        <v/>
      </c>
      <c r="O17" s="129">
        <f t="shared" si="25"/>
        <v>20</v>
      </c>
      <c r="P17" s="214"/>
      <c r="Q17" s="130"/>
      <c r="R17" s="183"/>
      <c r="S17" s="199" t="str">
        <f t="shared" si="9"/>
        <v/>
      </c>
      <c r="T17" s="200" t="str">
        <f t="shared" si="10"/>
        <v/>
      </c>
      <c r="U17" s="201" t="str">
        <f t="shared" si="11"/>
        <v/>
      </c>
      <c r="V17" s="417" t="str">
        <f t="shared" si="12"/>
        <v/>
      </c>
      <c r="W17" s="418" t="str">
        <f t="shared" si="13"/>
        <v/>
      </c>
      <c r="X17" s="202" t="str">
        <f t="shared" si="14"/>
        <v/>
      </c>
      <c r="Y17" s="191"/>
      <c r="Z17" s="203" t="str">
        <f t="shared" si="15"/>
        <v>20.0</v>
      </c>
      <c r="AA17" s="198" t="str">
        <f t="shared" si="16"/>
        <v>30.0</v>
      </c>
      <c r="AB17" s="204">
        <f t="shared" si="17"/>
        <v>340</v>
      </c>
    </row>
    <row r="18" spans="1:28" ht="14" x14ac:dyDescent="0.2">
      <c r="A18" s="103"/>
      <c r="B18" s="131">
        <v>12</v>
      </c>
      <c r="C18" s="132"/>
      <c r="D18" s="133" t="str">
        <f t="shared" si="0"/>
        <v/>
      </c>
      <c r="E18" s="216" t="str">
        <f t="shared" si="18"/>
        <v/>
      </c>
      <c r="F18" s="134">
        <v>12</v>
      </c>
      <c r="G18" s="135"/>
      <c r="H18" s="132" t="str">
        <f t="shared" si="19"/>
        <v/>
      </c>
      <c r="I18" s="136" t="str">
        <f t="shared" si="20"/>
        <v/>
      </c>
      <c r="J18" s="134"/>
      <c r="K18" s="137" t="str">
        <f t="shared" si="21"/>
        <v/>
      </c>
      <c r="L18" s="135" t="str">
        <f t="shared" si="22"/>
        <v/>
      </c>
      <c r="M18" s="138" t="str">
        <f t="shared" si="23"/>
        <v/>
      </c>
      <c r="N18" s="139" t="str">
        <f t="shared" si="24"/>
        <v/>
      </c>
      <c r="O18" s="140">
        <f t="shared" si="25"/>
        <v>20</v>
      </c>
      <c r="P18" s="174"/>
      <c r="Q18" s="142"/>
      <c r="R18" s="183"/>
      <c r="S18" s="199" t="str">
        <f t="shared" si="9"/>
        <v/>
      </c>
      <c r="T18" s="200" t="str">
        <f t="shared" si="10"/>
        <v/>
      </c>
      <c r="U18" s="201" t="str">
        <f t="shared" si="11"/>
        <v/>
      </c>
      <c r="V18" s="417" t="str">
        <f t="shared" si="12"/>
        <v/>
      </c>
      <c r="W18" s="418" t="str">
        <f t="shared" si="13"/>
        <v/>
      </c>
      <c r="X18" s="202" t="str">
        <f t="shared" si="14"/>
        <v/>
      </c>
      <c r="Y18" s="191"/>
      <c r="Z18" s="203" t="str">
        <f t="shared" si="15"/>
        <v>20.0</v>
      </c>
      <c r="AA18" s="198" t="str">
        <f t="shared" si="16"/>
        <v>30.0</v>
      </c>
      <c r="AB18" s="204">
        <f t="shared" si="17"/>
        <v>370</v>
      </c>
    </row>
    <row r="19" spans="1:28" ht="14" x14ac:dyDescent="0.2">
      <c r="A19" s="103"/>
      <c r="B19" s="131">
        <v>13</v>
      </c>
      <c r="C19" s="132"/>
      <c r="D19" s="133" t="str">
        <f t="shared" si="0"/>
        <v/>
      </c>
      <c r="E19" s="216" t="str">
        <f t="shared" si="18"/>
        <v/>
      </c>
      <c r="F19" s="134">
        <v>13</v>
      </c>
      <c r="G19" s="135"/>
      <c r="H19" s="132" t="str">
        <f t="shared" si="19"/>
        <v/>
      </c>
      <c r="I19" s="136" t="str">
        <f t="shared" si="20"/>
        <v/>
      </c>
      <c r="J19" s="134"/>
      <c r="K19" s="137" t="str">
        <f t="shared" si="21"/>
        <v/>
      </c>
      <c r="L19" s="135" t="str">
        <f t="shared" si="22"/>
        <v/>
      </c>
      <c r="M19" s="138" t="str">
        <f t="shared" si="23"/>
        <v/>
      </c>
      <c r="N19" s="139" t="str">
        <f t="shared" si="24"/>
        <v/>
      </c>
      <c r="O19" s="140">
        <f t="shared" si="25"/>
        <v>20</v>
      </c>
      <c r="P19" s="174"/>
      <c r="Q19" s="142"/>
      <c r="R19" s="183"/>
      <c r="S19" s="199" t="str">
        <f t="shared" si="9"/>
        <v/>
      </c>
      <c r="T19" s="200" t="str">
        <f t="shared" si="10"/>
        <v/>
      </c>
      <c r="U19" s="201" t="str">
        <f t="shared" si="11"/>
        <v/>
      </c>
      <c r="V19" s="417" t="str">
        <f t="shared" si="12"/>
        <v/>
      </c>
      <c r="W19" s="418" t="str">
        <f t="shared" si="13"/>
        <v/>
      </c>
      <c r="X19" s="202" t="str">
        <f t="shared" si="14"/>
        <v/>
      </c>
      <c r="Y19" s="191"/>
      <c r="Z19" s="203" t="str">
        <f t="shared" si="15"/>
        <v>20.0</v>
      </c>
      <c r="AA19" s="198" t="str">
        <f t="shared" si="16"/>
        <v>30.0</v>
      </c>
      <c r="AB19" s="204">
        <f t="shared" si="17"/>
        <v>400</v>
      </c>
    </row>
    <row r="20" spans="1:28" ht="14" x14ac:dyDescent="0.2">
      <c r="A20" s="103"/>
      <c r="B20" s="131">
        <v>14</v>
      </c>
      <c r="C20" s="132"/>
      <c r="D20" s="133" t="str">
        <f t="shared" si="0"/>
        <v/>
      </c>
      <c r="E20" s="216" t="str">
        <f t="shared" si="18"/>
        <v/>
      </c>
      <c r="F20" s="134">
        <v>14</v>
      </c>
      <c r="G20" s="135"/>
      <c r="H20" s="132" t="str">
        <f t="shared" si="19"/>
        <v/>
      </c>
      <c r="I20" s="136" t="str">
        <f t="shared" si="20"/>
        <v/>
      </c>
      <c r="J20" s="134"/>
      <c r="K20" s="137" t="str">
        <f t="shared" si="21"/>
        <v/>
      </c>
      <c r="L20" s="135" t="str">
        <f t="shared" si="22"/>
        <v/>
      </c>
      <c r="M20" s="138" t="str">
        <f t="shared" si="23"/>
        <v/>
      </c>
      <c r="N20" s="139" t="str">
        <f t="shared" si="24"/>
        <v/>
      </c>
      <c r="O20" s="140">
        <f t="shared" si="25"/>
        <v>20</v>
      </c>
      <c r="P20" s="334"/>
      <c r="Q20" s="142"/>
      <c r="R20" s="183"/>
      <c r="S20" s="199" t="str">
        <f t="shared" si="9"/>
        <v/>
      </c>
      <c r="T20" s="200" t="str">
        <f t="shared" si="10"/>
        <v/>
      </c>
      <c r="U20" s="201" t="str">
        <f t="shared" si="11"/>
        <v/>
      </c>
      <c r="V20" s="417" t="str">
        <f t="shared" si="12"/>
        <v/>
      </c>
      <c r="W20" s="418" t="str">
        <f t="shared" si="13"/>
        <v/>
      </c>
      <c r="X20" s="202" t="str">
        <f t="shared" si="14"/>
        <v/>
      </c>
      <c r="Y20" s="191"/>
      <c r="Z20" s="203" t="str">
        <f t="shared" si="15"/>
        <v>20.0</v>
      </c>
      <c r="AA20" s="198" t="str">
        <f t="shared" si="16"/>
        <v>30.0</v>
      </c>
      <c r="AB20" s="204">
        <f t="shared" si="17"/>
        <v>430</v>
      </c>
    </row>
    <row r="21" spans="1:28" ht="14" x14ac:dyDescent="0.2">
      <c r="A21" s="103"/>
      <c r="B21" s="143">
        <v>15</v>
      </c>
      <c r="C21" s="144"/>
      <c r="D21" s="145" t="str">
        <f t="shared" si="0"/>
        <v/>
      </c>
      <c r="E21" s="217" t="str">
        <f t="shared" si="18"/>
        <v/>
      </c>
      <c r="F21" s="146">
        <v>15</v>
      </c>
      <c r="G21" s="147"/>
      <c r="H21" s="148" t="str">
        <f t="shared" si="19"/>
        <v/>
      </c>
      <c r="I21" s="149" t="str">
        <f t="shared" si="20"/>
        <v/>
      </c>
      <c r="J21" s="150"/>
      <c r="K21" s="151" t="str">
        <f t="shared" si="21"/>
        <v/>
      </c>
      <c r="L21" s="152" t="str">
        <f t="shared" si="22"/>
        <v/>
      </c>
      <c r="M21" s="153" t="str">
        <f t="shared" si="23"/>
        <v/>
      </c>
      <c r="N21" s="154" t="str">
        <f t="shared" si="24"/>
        <v/>
      </c>
      <c r="O21" s="155">
        <f t="shared" si="25"/>
        <v>20</v>
      </c>
      <c r="P21" s="210"/>
      <c r="Q21" s="157"/>
      <c r="R21" s="183"/>
      <c r="S21" s="199" t="str">
        <f t="shared" si="9"/>
        <v/>
      </c>
      <c r="T21" s="200" t="str">
        <f t="shared" si="10"/>
        <v/>
      </c>
      <c r="U21" s="201" t="str">
        <f t="shared" si="11"/>
        <v/>
      </c>
      <c r="V21" s="417" t="str">
        <f t="shared" si="12"/>
        <v/>
      </c>
      <c r="W21" s="418" t="str">
        <f t="shared" si="13"/>
        <v/>
      </c>
      <c r="X21" s="202" t="str">
        <f t="shared" si="14"/>
        <v/>
      </c>
      <c r="Y21" s="191"/>
      <c r="Z21" s="203" t="str">
        <f t="shared" si="15"/>
        <v>20.0</v>
      </c>
      <c r="AA21" s="198" t="str">
        <f t="shared" si="16"/>
        <v>30.0</v>
      </c>
      <c r="AB21" s="204">
        <f t="shared" si="17"/>
        <v>460</v>
      </c>
    </row>
    <row r="22" spans="1:28" ht="14" x14ac:dyDescent="0.2">
      <c r="A22" s="103"/>
      <c r="B22" s="172">
        <v>16</v>
      </c>
      <c r="C22" s="121"/>
      <c r="D22" s="177" t="str">
        <f t="shared" si="0"/>
        <v/>
      </c>
      <c r="E22" s="215" t="str">
        <f t="shared" si="18"/>
        <v/>
      </c>
      <c r="F22" s="166"/>
      <c r="G22" s="124"/>
      <c r="H22" s="121" t="str">
        <f t="shared" si="19"/>
        <v/>
      </c>
      <c r="I22" s="125" t="str">
        <f t="shared" si="20"/>
        <v/>
      </c>
      <c r="J22" s="123"/>
      <c r="K22" s="126" t="str">
        <f t="shared" si="21"/>
        <v/>
      </c>
      <c r="L22" s="124" t="str">
        <f t="shared" si="22"/>
        <v/>
      </c>
      <c r="M22" s="127" t="str">
        <f t="shared" si="23"/>
        <v/>
      </c>
      <c r="N22" s="128" t="str">
        <f t="shared" si="24"/>
        <v/>
      </c>
      <c r="O22" s="129">
        <f t="shared" si="25"/>
        <v>20</v>
      </c>
      <c r="P22" s="335"/>
      <c r="Q22" s="173"/>
      <c r="R22" s="183"/>
      <c r="S22" s="199" t="str">
        <f t="shared" si="9"/>
        <v/>
      </c>
      <c r="T22" s="200" t="str">
        <f t="shared" si="10"/>
        <v/>
      </c>
      <c r="U22" s="201" t="str">
        <f t="shared" si="11"/>
        <v/>
      </c>
      <c r="V22" s="417" t="str">
        <f t="shared" si="12"/>
        <v/>
      </c>
      <c r="W22" s="418" t="str">
        <f t="shared" si="13"/>
        <v/>
      </c>
      <c r="X22" s="202" t="str">
        <f t="shared" si="14"/>
        <v/>
      </c>
      <c r="Y22" s="191"/>
      <c r="Z22" s="203" t="str">
        <f t="shared" si="15"/>
        <v>20.0</v>
      </c>
      <c r="AA22" s="198" t="str">
        <f t="shared" si="16"/>
        <v>30.0</v>
      </c>
      <c r="AB22" s="204">
        <f t="shared" si="17"/>
        <v>490</v>
      </c>
    </row>
    <row r="23" spans="1:28" ht="14" x14ac:dyDescent="0.2">
      <c r="A23" s="103"/>
      <c r="B23" s="131">
        <v>17</v>
      </c>
      <c r="C23" s="132"/>
      <c r="D23" s="133" t="str">
        <f t="shared" si="0"/>
        <v/>
      </c>
      <c r="E23" s="216" t="str">
        <f t="shared" si="18"/>
        <v/>
      </c>
      <c r="F23" s="134"/>
      <c r="G23" s="135"/>
      <c r="H23" s="132" t="str">
        <f t="shared" si="19"/>
        <v/>
      </c>
      <c r="I23" s="136" t="str">
        <f t="shared" si="20"/>
        <v/>
      </c>
      <c r="J23" s="134"/>
      <c r="K23" s="137" t="str">
        <f t="shared" si="21"/>
        <v/>
      </c>
      <c r="L23" s="135" t="str">
        <f t="shared" si="22"/>
        <v/>
      </c>
      <c r="M23" s="138" t="str">
        <f t="shared" si="23"/>
        <v/>
      </c>
      <c r="N23" s="139" t="str">
        <f t="shared" si="24"/>
        <v/>
      </c>
      <c r="O23" s="140">
        <f t="shared" si="25"/>
        <v>20</v>
      </c>
      <c r="P23" s="174"/>
      <c r="Q23" s="142"/>
      <c r="R23" s="183"/>
      <c r="S23" s="199" t="str">
        <f t="shared" si="9"/>
        <v/>
      </c>
      <c r="T23" s="200" t="str">
        <f t="shared" si="10"/>
        <v/>
      </c>
      <c r="U23" s="201" t="str">
        <f t="shared" si="11"/>
        <v/>
      </c>
      <c r="V23" s="417" t="str">
        <f t="shared" si="12"/>
        <v/>
      </c>
      <c r="W23" s="418" t="str">
        <f t="shared" si="13"/>
        <v/>
      </c>
      <c r="X23" s="202" t="str">
        <f t="shared" si="14"/>
        <v/>
      </c>
      <c r="Y23" s="191"/>
      <c r="Z23" s="203" t="str">
        <f t="shared" si="15"/>
        <v>20.0</v>
      </c>
      <c r="AA23" s="198" t="str">
        <f t="shared" si="16"/>
        <v>30.0</v>
      </c>
      <c r="AB23" s="204">
        <f t="shared" si="17"/>
        <v>520</v>
      </c>
    </row>
    <row r="24" spans="1:28" ht="14" x14ac:dyDescent="0.2">
      <c r="A24" s="103"/>
      <c r="B24" s="172">
        <v>18</v>
      </c>
      <c r="C24" s="132"/>
      <c r="D24" s="133" t="str">
        <f t="shared" si="0"/>
        <v/>
      </c>
      <c r="E24" s="216" t="str">
        <f t="shared" si="18"/>
        <v/>
      </c>
      <c r="F24" s="134"/>
      <c r="G24" s="135"/>
      <c r="H24" s="132" t="str">
        <f t="shared" si="19"/>
        <v/>
      </c>
      <c r="I24" s="136" t="str">
        <f t="shared" si="20"/>
        <v/>
      </c>
      <c r="J24" s="134"/>
      <c r="K24" s="137" t="str">
        <f t="shared" si="21"/>
        <v/>
      </c>
      <c r="L24" s="135" t="str">
        <f t="shared" si="22"/>
        <v/>
      </c>
      <c r="M24" s="138" t="str">
        <f t="shared" si="23"/>
        <v/>
      </c>
      <c r="N24" s="139" t="str">
        <f t="shared" si="24"/>
        <v/>
      </c>
      <c r="O24" s="140">
        <f t="shared" si="25"/>
        <v>20</v>
      </c>
      <c r="P24" s="175"/>
      <c r="Q24" s="142"/>
      <c r="R24" s="183"/>
      <c r="S24" s="199" t="str">
        <f t="shared" si="9"/>
        <v/>
      </c>
      <c r="T24" s="200" t="str">
        <f t="shared" si="10"/>
        <v/>
      </c>
      <c r="U24" s="201" t="str">
        <f t="shared" si="11"/>
        <v/>
      </c>
      <c r="V24" s="417" t="str">
        <f t="shared" si="12"/>
        <v/>
      </c>
      <c r="W24" s="418" t="str">
        <f t="shared" si="13"/>
        <v/>
      </c>
      <c r="X24" s="202" t="str">
        <f t="shared" si="14"/>
        <v/>
      </c>
      <c r="Y24" s="191"/>
      <c r="Z24" s="203" t="str">
        <f t="shared" si="15"/>
        <v>20.0</v>
      </c>
      <c r="AA24" s="198" t="str">
        <f t="shared" si="16"/>
        <v>30.0</v>
      </c>
      <c r="AB24" s="204">
        <f t="shared" si="17"/>
        <v>550</v>
      </c>
    </row>
    <row r="25" spans="1:28" ht="14" x14ac:dyDescent="0.2">
      <c r="A25" s="103"/>
      <c r="B25" s="131">
        <v>19</v>
      </c>
      <c r="C25" s="132"/>
      <c r="D25" s="133" t="str">
        <f t="shared" si="0"/>
        <v/>
      </c>
      <c r="E25" s="216" t="str">
        <f t="shared" si="18"/>
        <v/>
      </c>
      <c r="F25" s="134"/>
      <c r="G25" s="135"/>
      <c r="H25" s="132" t="str">
        <f t="shared" si="19"/>
        <v/>
      </c>
      <c r="I25" s="136" t="str">
        <f t="shared" si="20"/>
        <v/>
      </c>
      <c r="J25" s="134"/>
      <c r="K25" s="137" t="str">
        <f t="shared" si="21"/>
        <v/>
      </c>
      <c r="L25" s="135" t="str">
        <f t="shared" si="22"/>
        <v/>
      </c>
      <c r="M25" s="138" t="str">
        <f t="shared" si="23"/>
        <v/>
      </c>
      <c r="N25" s="139" t="str">
        <f t="shared" si="24"/>
        <v/>
      </c>
      <c r="O25" s="140">
        <f t="shared" si="25"/>
        <v>20</v>
      </c>
      <c r="P25" s="175"/>
      <c r="Q25" s="142"/>
      <c r="R25" s="183"/>
      <c r="S25" s="199" t="str">
        <f t="shared" si="9"/>
        <v/>
      </c>
      <c r="T25" s="200" t="str">
        <f t="shared" si="10"/>
        <v/>
      </c>
      <c r="U25" s="201" t="str">
        <f t="shared" si="11"/>
        <v/>
      </c>
      <c r="V25" s="417" t="str">
        <f t="shared" si="12"/>
        <v/>
      </c>
      <c r="W25" s="418" t="str">
        <f t="shared" si="13"/>
        <v/>
      </c>
      <c r="X25" s="202" t="str">
        <f t="shared" si="14"/>
        <v/>
      </c>
      <c r="Y25" s="191"/>
      <c r="Z25" s="203" t="str">
        <f t="shared" si="15"/>
        <v>20.0</v>
      </c>
      <c r="AA25" s="198" t="str">
        <f t="shared" si="16"/>
        <v>30.0</v>
      </c>
      <c r="AB25" s="204">
        <f t="shared" si="17"/>
        <v>580</v>
      </c>
    </row>
    <row r="26" spans="1:28" ht="14" x14ac:dyDescent="0.2">
      <c r="A26" s="103"/>
      <c r="B26" s="143">
        <v>20</v>
      </c>
      <c r="C26" s="144"/>
      <c r="D26" s="145" t="str">
        <f t="shared" si="0"/>
        <v/>
      </c>
      <c r="E26" s="217" t="str">
        <f t="shared" si="18"/>
        <v/>
      </c>
      <c r="F26" s="146"/>
      <c r="G26" s="147"/>
      <c r="H26" s="148" t="str">
        <f t="shared" si="19"/>
        <v/>
      </c>
      <c r="I26" s="149" t="str">
        <f t="shared" si="20"/>
        <v/>
      </c>
      <c r="J26" s="150"/>
      <c r="K26" s="151" t="str">
        <f t="shared" si="21"/>
        <v/>
      </c>
      <c r="L26" s="152" t="str">
        <f t="shared" si="22"/>
        <v/>
      </c>
      <c r="M26" s="153" t="str">
        <f t="shared" si="23"/>
        <v/>
      </c>
      <c r="N26" s="154" t="str">
        <f t="shared" si="24"/>
        <v/>
      </c>
      <c r="O26" s="155">
        <f t="shared" si="25"/>
        <v>20</v>
      </c>
      <c r="P26" s="176"/>
      <c r="Q26" s="157"/>
      <c r="R26" s="183"/>
      <c r="S26" s="199" t="str">
        <f t="shared" si="9"/>
        <v/>
      </c>
      <c r="T26" s="200" t="str">
        <f t="shared" si="10"/>
        <v/>
      </c>
      <c r="U26" s="201" t="str">
        <f t="shared" si="11"/>
        <v/>
      </c>
      <c r="V26" s="417" t="str">
        <f t="shared" si="12"/>
        <v/>
      </c>
      <c r="W26" s="418" t="str">
        <f t="shared" si="13"/>
        <v/>
      </c>
      <c r="X26" s="202" t="str">
        <f t="shared" si="14"/>
        <v/>
      </c>
      <c r="Y26" s="191"/>
      <c r="Z26" s="203" t="str">
        <f t="shared" si="15"/>
        <v>20.0</v>
      </c>
      <c r="AA26" s="198" t="str">
        <f t="shared" si="16"/>
        <v>30.0</v>
      </c>
      <c r="AB26" s="204">
        <f t="shared" si="17"/>
        <v>610</v>
      </c>
    </row>
    <row r="27" spans="1:28" ht="14" x14ac:dyDescent="0.2">
      <c r="A27" s="103"/>
      <c r="B27" s="172"/>
      <c r="C27" s="164"/>
      <c r="D27" s="177" t="str">
        <f t="shared" si="0"/>
        <v/>
      </c>
      <c r="E27" s="166"/>
      <c r="F27" s="166"/>
      <c r="G27" s="168"/>
      <c r="H27" s="121" t="str">
        <f>IFERROR(IF(G27-$Q$2&lt;=0,"",(G27-$Q$2)*86400),"")</f>
        <v/>
      </c>
      <c r="I27" s="125"/>
      <c r="J27" s="123"/>
      <c r="K27" s="126" t="str">
        <f>IFERROR(H27*(1+0.01*J27)-I27*$N$3,"")</f>
        <v/>
      </c>
      <c r="L27" s="124" t="str">
        <f>IFERROR((K27-$K$7)/86400,"")</f>
        <v/>
      </c>
      <c r="M27" s="127" t="str">
        <f>IFERROR((K27-$K$7)/$N$3,"")</f>
        <v/>
      </c>
      <c r="N27" s="128" t="str">
        <f>IFERROR($N$3/(H27/3600),"")</f>
        <v/>
      </c>
      <c r="O27" s="129"/>
      <c r="P27" s="178"/>
      <c r="Q27" s="173"/>
      <c r="R27" s="183"/>
      <c r="S27" s="199" t="str">
        <f t="shared" si="9"/>
        <v/>
      </c>
      <c r="T27" s="200" t="str">
        <f t="shared" si="10"/>
        <v/>
      </c>
      <c r="U27" s="201" t="str">
        <f t="shared" si="11"/>
        <v/>
      </c>
      <c r="V27" s="417" t="str">
        <f t="shared" si="12"/>
        <v/>
      </c>
      <c r="W27" s="418" t="str">
        <f t="shared" si="13"/>
        <v/>
      </c>
      <c r="X27" s="202" t="str">
        <f t="shared" si="14"/>
        <v/>
      </c>
      <c r="Y27" s="191"/>
      <c r="Z27" s="203" t="str">
        <f t="shared" si="15"/>
        <v/>
      </c>
      <c r="AA27" s="198" t="str">
        <f t="shared" si="16"/>
        <v/>
      </c>
      <c r="AB27" s="204" t="str">
        <f t="shared" si="17"/>
        <v/>
      </c>
    </row>
    <row r="28" spans="1:28" ht="14.25" customHeight="1" x14ac:dyDescent="0.2">
      <c r="A28" s="103"/>
      <c r="B28" s="131"/>
      <c r="C28" s="132"/>
      <c r="D28" s="133" t="str">
        <f t="shared" si="0"/>
        <v/>
      </c>
      <c r="E28" s="134"/>
      <c r="F28" s="134"/>
      <c r="G28" s="135"/>
      <c r="H28" s="132"/>
      <c r="I28" s="136"/>
      <c r="J28" s="134"/>
      <c r="K28" s="137"/>
      <c r="L28" s="135"/>
      <c r="M28" s="138"/>
      <c r="N28" s="139"/>
      <c r="O28" s="140"/>
      <c r="P28" s="179"/>
      <c r="Q28" s="142"/>
      <c r="R28" s="183"/>
      <c r="S28" s="199" t="str">
        <f t="shared" si="9"/>
        <v/>
      </c>
      <c r="T28" s="200" t="str">
        <f t="shared" si="10"/>
        <v/>
      </c>
      <c r="U28" s="201" t="str">
        <f t="shared" si="11"/>
        <v/>
      </c>
      <c r="V28" s="417" t="str">
        <f t="shared" si="12"/>
        <v/>
      </c>
      <c r="W28" s="418" t="str">
        <f t="shared" si="13"/>
        <v/>
      </c>
      <c r="X28" s="202" t="str">
        <f t="shared" si="14"/>
        <v/>
      </c>
      <c r="Y28" s="191"/>
      <c r="Z28" s="203" t="str">
        <f t="shared" si="15"/>
        <v/>
      </c>
      <c r="AA28" s="198" t="str">
        <f t="shared" si="16"/>
        <v/>
      </c>
      <c r="AB28" s="204" t="str">
        <f t="shared" si="17"/>
        <v/>
      </c>
    </row>
    <row r="29" spans="1:28" ht="14" x14ac:dyDescent="0.2">
      <c r="A29" s="103"/>
      <c r="B29" s="131"/>
      <c r="C29" s="132"/>
      <c r="D29" s="133" t="str">
        <f t="shared" si="0"/>
        <v/>
      </c>
      <c r="E29" s="134"/>
      <c r="F29" s="134"/>
      <c r="G29" s="135"/>
      <c r="H29" s="132"/>
      <c r="I29" s="136"/>
      <c r="J29" s="134"/>
      <c r="K29" s="137"/>
      <c r="L29" s="135"/>
      <c r="M29" s="138"/>
      <c r="N29" s="139"/>
      <c r="O29" s="140"/>
      <c r="P29" s="175"/>
      <c r="Q29" s="142"/>
      <c r="R29" s="183"/>
      <c r="S29" s="199" t="str">
        <f t="shared" si="9"/>
        <v/>
      </c>
      <c r="T29" s="200" t="str">
        <f t="shared" si="10"/>
        <v/>
      </c>
      <c r="U29" s="201" t="str">
        <f t="shared" si="11"/>
        <v/>
      </c>
      <c r="V29" s="417" t="str">
        <f t="shared" si="12"/>
        <v/>
      </c>
      <c r="W29" s="418" t="str">
        <f t="shared" si="13"/>
        <v/>
      </c>
      <c r="X29" s="202" t="str">
        <f t="shared" si="14"/>
        <v/>
      </c>
      <c r="Y29" s="191"/>
      <c r="Z29" s="203" t="str">
        <f t="shared" si="15"/>
        <v/>
      </c>
      <c r="AA29" s="198" t="str">
        <f t="shared" si="16"/>
        <v/>
      </c>
      <c r="AB29" s="204" t="str">
        <f t="shared" si="17"/>
        <v/>
      </c>
    </row>
    <row r="30" spans="1:28" ht="14.25" customHeight="1" x14ac:dyDescent="0.2">
      <c r="A30" s="103"/>
      <c r="B30" s="131"/>
      <c r="C30" s="132"/>
      <c r="D30" s="133" t="str">
        <f t="shared" si="0"/>
        <v/>
      </c>
      <c r="E30" s="134"/>
      <c r="F30" s="134"/>
      <c r="G30" s="135"/>
      <c r="H30" s="132"/>
      <c r="I30" s="136"/>
      <c r="J30" s="134"/>
      <c r="K30" s="137"/>
      <c r="L30" s="135"/>
      <c r="M30" s="138"/>
      <c r="N30" s="139"/>
      <c r="O30" s="140"/>
      <c r="P30" s="175"/>
      <c r="Q30" s="142"/>
      <c r="R30" s="183"/>
      <c r="S30" s="199" t="str">
        <f t="shared" si="9"/>
        <v/>
      </c>
      <c r="T30" s="200" t="str">
        <f t="shared" si="10"/>
        <v/>
      </c>
      <c r="U30" s="201" t="str">
        <f t="shared" si="11"/>
        <v/>
      </c>
      <c r="V30" s="417" t="str">
        <f t="shared" si="12"/>
        <v/>
      </c>
      <c r="W30" s="418" t="str">
        <f t="shared" si="13"/>
        <v/>
      </c>
      <c r="X30" s="202" t="str">
        <f t="shared" si="14"/>
        <v/>
      </c>
      <c r="Y30" s="191"/>
      <c r="Z30" s="203" t="str">
        <f t="shared" si="15"/>
        <v/>
      </c>
      <c r="AA30" s="198" t="str">
        <f t="shared" si="16"/>
        <v/>
      </c>
      <c r="AB30" s="204" t="str">
        <f t="shared" si="17"/>
        <v/>
      </c>
    </row>
    <row r="31" spans="1:28" ht="14.5" thickBot="1" x14ac:dyDescent="0.25">
      <c r="A31" s="103"/>
      <c r="B31" s="131"/>
      <c r="C31" s="132"/>
      <c r="D31" s="145" t="str">
        <f t="shared" si="0"/>
        <v/>
      </c>
      <c r="E31" s="146"/>
      <c r="F31" s="134"/>
      <c r="G31" s="135"/>
      <c r="H31" s="144" t="str">
        <f>IFERROR(IF(G31-$Q$2&lt;=0,"",(G31-$Q$2)*86400),"")</f>
        <v/>
      </c>
      <c r="I31" s="158" t="str">
        <f>IF($I$6="Ⅰ",V31,IF($I$6="Ⅱ",W31,IF($I$6="Ⅲ",X31,"")))</f>
        <v/>
      </c>
      <c r="J31" s="146"/>
      <c r="K31" s="160" t="str">
        <f>IFERROR(H31*(1+0.01*J31)-I31*$N$3,"")</f>
        <v/>
      </c>
      <c r="L31" s="147" t="str">
        <f>IFERROR((K31-$K$7)/86400,"")</f>
        <v/>
      </c>
      <c r="M31" s="161" t="str">
        <f>IFERROR((K31-$K$7)/$N$3,"")</f>
        <v/>
      </c>
      <c r="N31" s="162" t="str">
        <f>IFERROR($N$3/(H31/3600),"")</f>
        <v/>
      </c>
      <c r="O31" s="163" t="str">
        <f>IF($O$6="MAX=20",Z31,IF($O$6="MAX=30",AA31,IF($O$6="MAX=40",AB31,"")))</f>
        <v/>
      </c>
      <c r="P31" s="176"/>
      <c r="Q31" s="157"/>
      <c r="R31" s="183"/>
      <c r="S31" s="205" t="str">
        <f t="shared" si="9"/>
        <v/>
      </c>
      <c r="T31" s="206" t="str">
        <f t="shared" si="10"/>
        <v/>
      </c>
      <c r="U31" s="207" t="str">
        <f t="shared" si="11"/>
        <v/>
      </c>
      <c r="V31" s="419" t="str">
        <f t="shared" si="12"/>
        <v/>
      </c>
      <c r="W31" s="420" t="str">
        <f t="shared" si="13"/>
        <v/>
      </c>
      <c r="X31" s="421" t="str">
        <f t="shared" si="14"/>
        <v/>
      </c>
      <c r="Y31" s="191"/>
      <c r="Z31" s="211" t="str">
        <f t="shared" si="15"/>
        <v/>
      </c>
      <c r="AA31" s="212" t="str">
        <f t="shared" si="16"/>
        <v/>
      </c>
      <c r="AB31" s="213" t="str">
        <f t="shared" si="17"/>
        <v/>
      </c>
    </row>
    <row r="32" spans="1:28" ht="15" customHeight="1" x14ac:dyDescent="0.25">
      <c r="A32" s="103"/>
      <c r="B32" s="580" t="s">
        <v>203</v>
      </c>
      <c r="C32" s="581"/>
      <c r="D32" s="582"/>
      <c r="E32" s="180" t="s">
        <v>159</v>
      </c>
      <c r="F32" s="589" t="s">
        <v>222</v>
      </c>
      <c r="G32" s="590"/>
      <c r="H32" s="623" t="s">
        <v>371</v>
      </c>
      <c r="I32" s="592"/>
      <c r="J32" s="592"/>
      <c r="K32" s="592"/>
      <c r="L32" s="592"/>
      <c r="M32" s="592"/>
      <c r="N32" s="592"/>
      <c r="O32" s="592"/>
      <c r="P32" s="592"/>
      <c r="Q32" s="593"/>
      <c r="R32" s="94"/>
      <c r="S32" s="186"/>
      <c r="T32" s="186"/>
      <c r="U32" s="186"/>
      <c r="X32" s="186"/>
      <c r="Y32" s="186"/>
    </row>
    <row r="33" spans="1:25" ht="15" customHeight="1" x14ac:dyDescent="0.25">
      <c r="A33" s="103"/>
      <c r="B33" s="583"/>
      <c r="C33" s="584"/>
      <c r="D33" s="585"/>
      <c r="E33" s="181" t="s">
        <v>160</v>
      </c>
      <c r="F33" s="600" t="s">
        <v>223</v>
      </c>
      <c r="G33" s="601"/>
      <c r="H33" s="594"/>
      <c r="I33" s="595"/>
      <c r="J33" s="595"/>
      <c r="K33" s="595"/>
      <c r="L33" s="595"/>
      <c r="M33" s="595"/>
      <c r="N33" s="595"/>
      <c r="O33" s="595"/>
      <c r="P33" s="595"/>
      <c r="Q33" s="596"/>
      <c r="R33" s="94"/>
      <c r="S33" s="186"/>
      <c r="T33" s="186"/>
      <c r="U33" s="186"/>
      <c r="X33" s="186"/>
      <c r="Y33" s="186"/>
    </row>
    <row r="34" spans="1:25" ht="23.25" customHeight="1" x14ac:dyDescent="0.25">
      <c r="A34" s="103"/>
      <c r="B34" s="586"/>
      <c r="C34" s="587"/>
      <c r="D34" s="588"/>
      <c r="E34" s="181" t="s">
        <v>161</v>
      </c>
      <c r="F34" s="600"/>
      <c r="G34" s="601"/>
      <c r="H34" s="594"/>
      <c r="I34" s="595"/>
      <c r="J34" s="595"/>
      <c r="K34" s="595"/>
      <c r="L34" s="595"/>
      <c r="M34" s="595"/>
      <c r="N34" s="595"/>
      <c r="O34" s="595"/>
      <c r="P34" s="595"/>
      <c r="Q34" s="596"/>
      <c r="R34" s="94"/>
      <c r="S34" s="186"/>
      <c r="T34" s="186"/>
      <c r="U34" s="186"/>
      <c r="X34" s="186"/>
      <c r="Y34" s="186"/>
    </row>
    <row r="35" spans="1:25" ht="22.5" customHeight="1" x14ac:dyDescent="0.25">
      <c r="A35" s="103"/>
      <c r="B35" s="602" t="s">
        <v>204</v>
      </c>
      <c r="C35" s="603"/>
      <c r="D35" s="604"/>
      <c r="E35" s="574" t="s">
        <v>163</v>
      </c>
      <c r="F35" s="600" t="str">
        <f>参照ﾃﾞｰﾀ!AB16</f>
        <v>飛車角</v>
      </c>
      <c r="G35" s="601"/>
      <c r="H35" s="594"/>
      <c r="I35" s="595"/>
      <c r="J35" s="595"/>
      <c r="K35" s="595"/>
      <c r="L35" s="595"/>
      <c r="M35" s="595"/>
      <c r="N35" s="595"/>
      <c r="O35" s="595"/>
      <c r="P35" s="595"/>
      <c r="Q35" s="596"/>
      <c r="R35" s="94"/>
      <c r="S35" s="186"/>
      <c r="T35" s="186"/>
      <c r="U35" s="186"/>
      <c r="X35" s="186"/>
      <c r="Y35" s="186"/>
    </row>
    <row r="36" spans="1:25" ht="15" customHeight="1" x14ac:dyDescent="0.25">
      <c r="A36" s="103"/>
      <c r="B36" s="605"/>
      <c r="C36" s="606"/>
      <c r="D36" s="607"/>
      <c r="E36" s="613"/>
      <c r="F36" s="600"/>
      <c r="G36" s="601"/>
      <c r="H36" s="594"/>
      <c r="I36" s="595"/>
      <c r="J36" s="595"/>
      <c r="K36" s="595"/>
      <c r="L36" s="595"/>
      <c r="M36" s="595"/>
      <c r="N36" s="595"/>
      <c r="O36" s="595"/>
      <c r="P36" s="595"/>
      <c r="Q36" s="596"/>
      <c r="R36" s="94"/>
      <c r="S36" s="186"/>
      <c r="T36" s="186"/>
      <c r="U36" s="186"/>
      <c r="X36" s="186"/>
      <c r="Y36" s="186"/>
    </row>
    <row r="37" spans="1:25" ht="15" customHeight="1" x14ac:dyDescent="0.25">
      <c r="A37" s="103"/>
      <c r="B37" s="605"/>
      <c r="C37" s="606"/>
      <c r="D37" s="607"/>
      <c r="E37" s="180" t="s">
        <v>162</v>
      </c>
      <c r="F37" s="614">
        <v>46040</v>
      </c>
      <c r="G37" s="590"/>
      <c r="H37" s="594"/>
      <c r="I37" s="595"/>
      <c r="J37" s="595"/>
      <c r="K37" s="595"/>
      <c r="L37" s="595"/>
      <c r="M37" s="595"/>
      <c r="N37" s="595"/>
      <c r="O37" s="595"/>
      <c r="P37" s="595"/>
      <c r="Q37" s="596"/>
      <c r="R37" s="94"/>
      <c r="S37" s="186"/>
      <c r="T37" s="186"/>
      <c r="U37" s="186"/>
      <c r="X37" s="186"/>
      <c r="Y37" s="186"/>
    </row>
    <row r="38" spans="1:25" ht="15" customHeight="1" x14ac:dyDescent="0.25">
      <c r="A38" s="103"/>
      <c r="B38" s="605"/>
      <c r="C38" s="606"/>
      <c r="D38" s="607"/>
      <c r="E38" s="181" t="s">
        <v>175</v>
      </c>
      <c r="F38" s="600"/>
      <c r="G38" s="601"/>
      <c r="H38" s="594"/>
      <c r="I38" s="595"/>
      <c r="J38" s="595"/>
      <c r="K38" s="595"/>
      <c r="L38" s="595"/>
      <c r="M38" s="595"/>
      <c r="N38" s="595"/>
      <c r="O38" s="595"/>
      <c r="P38" s="595"/>
      <c r="Q38" s="596"/>
      <c r="R38" s="94"/>
      <c r="S38" s="186"/>
      <c r="T38" s="186"/>
      <c r="U38" s="186"/>
      <c r="X38" s="186"/>
      <c r="Y38" s="186"/>
    </row>
    <row r="39" spans="1:25" ht="15" customHeight="1" x14ac:dyDescent="0.25">
      <c r="A39" s="103"/>
      <c r="B39" s="605"/>
      <c r="C39" s="606"/>
      <c r="D39" s="607"/>
      <c r="E39" s="574" t="s">
        <v>163</v>
      </c>
      <c r="F39" s="600" t="str">
        <f>参照ﾃﾞｰﾀ!AB17</f>
        <v>テティス</v>
      </c>
      <c r="G39" s="601"/>
      <c r="H39" s="594"/>
      <c r="I39" s="595"/>
      <c r="J39" s="595"/>
      <c r="K39" s="595"/>
      <c r="L39" s="595"/>
      <c r="M39" s="595"/>
      <c r="N39" s="595"/>
      <c r="O39" s="595"/>
      <c r="P39" s="595"/>
      <c r="Q39" s="596"/>
      <c r="R39" s="94"/>
      <c r="S39" s="186"/>
      <c r="T39" s="186"/>
      <c r="U39" s="186"/>
      <c r="X39" s="186"/>
      <c r="Y39" s="186"/>
    </row>
    <row r="40" spans="1:25" ht="15" customHeight="1" x14ac:dyDescent="0.25">
      <c r="A40" s="103"/>
      <c r="B40" s="605"/>
      <c r="C40" s="606"/>
      <c r="D40" s="607"/>
      <c r="E40" s="574"/>
      <c r="F40" s="600"/>
      <c r="G40" s="601"/>
      <c r="H40" s="594"/>
      <c r="I40" s="595"/>
      <c r="J40" s="595"/>
      <c r="K40" s="595"/>
      <c r="L40" s="595"/>
      <c r="M40" s="595"/>
      <c r="N40" s="595"/>
      <c r="O40" s="595"/>
      <c r="P40" s="595"/>
      <c r="Q40" s="596"/>
      <c r="R40" s="94"/>
      <c r="S40" s="186"/>
      <c r="T40" s="186"/>
      <c r="U40" s="186"/>
      <c r="X40" s="186"/>
      <c r="Y40" s="186"/>
    </row>
    <row r="41" spans="1:25" ht="11.25" customHeight="1" thickBot="1" x14ac:dyDescent="0.3">
      <c r="A41" s="103"/>
      <c r="B41" s="608"/>
      <c r="C41" s="609"/>
      <c r="D41" s="610"/>
      <c r="E41" s="182"/>
      <c r="F41" s="611"/>
      <c r="G41" s="612"/>
      <c r="H41" s="597"/>
      <c r="I41" s="598"/>
      <c r="J41" s="598"/>
      <c r="K41" s="598"/>
      <c r="L41" s="598"/>
      <c r="M41" s="598"/>
      <c r="N41" s="598"/>
      <c r="O41" s="598"/>
      <c r="P41" s="598"/>
      <c r="Q41" s="599"/>
      <c r="R41" s="94"/>
      <c r="S41" s="186"/>
      <c r="T41" s="186"/>
      <c r="U41" s="186"/>
      <c r="V41" s="186"/>
      <c r="W41" s="186"/>
      <c r="X41" s="186"/>
      <c r="Y41" s="186"/>
    </row>
    <row r="42" spans="1:25" x14ac:dyDescent="0.2">
      <c r="A42" s="103"/>
      <c r="B42" s="103"/>
      <c r="C42" s="103"/>
      <c r="D42" s="103"/>
      <c r="E42" s="103"/>
      <c r="F42" s="103"/>
      <c r="G42" s="103"/>
      <c r="H42" s="103"/>
      <c r="I42" s="103"/>
      <c r="J42" s="103"/>
      <c r="K42" s="103"/>
      <c r="L42" s="103"/>
      <c r="M42" s="103"/>
      <c r="N42" s="103"/>
      <c r="O42" s="103"/>
      <c r="P42" s="103"/>
      <c r="Q42" s="103"/>
      <c r="R42" s="103"/>
    </row>
  </sheetData>
  <sheetProtection algorithmName="SHA-512" hashValue="fgpsuyZqcr6PonitCo2xuwGktOE0qUnj+kC9jPRXvjxvxnXB9SlrSbLziZDbxqeAXfAF2Somn86Xuv78zRf1SA==" saltValue="3F2Nu8jrD6cCepXE4H4Hdw==" spinCount="100000" sheet="1" objects="1" scenarios="1"/>
  <sortState xmlns:xlrd2="http://schemas.microsoft.com/office/spreadsheetml/2017/richdata2" ref="C7:K23">
    <sortCondition ref="K7:K23"/>
  </sortState>
  <mergeCells count="19">
    <mergeCell ref="F38:G38"/>
    <mergeCell ref="E39:E40"/>
    <mergeCell ref="F39:G39"/>
    <mergeCell ref="F40:G40"/>
    <mergeCell ref="D2:F2"/>
    <mergeCell ref="E3:I3"/>
    <mergeCell ref="J3:K3"/>
    <mergeCell ref="P5:Q5"/>
    <mergeCell ref="B32:D34"/>
    <mergeCell ref="F32:G32"/>
    <mergeCell ref="H32:Q41"/>
    <mergeCell ref="F33:G33"/>
    <mergeCell ref="F34:G34"/>
    <mergeCell ref="B35:D41"/>
    <mergeCell ref="F41:G41"/>
    <mergeCell ref="E35:E36"/>
    <mergeCell ref="F35:G35"/>
    <mergeCell ref="F36:G36"/>
    <mergeCell ref="F37:G37"/>
  </mergeCells>
  <phoneticPr fontId="71"/>
  <dataValidations count="8">
    <dataValidation type="list" allowBlank="1" showInputMessage="1" showErrorMessage="1" sqref="P2 F37:G37" xr:uid="{00000000-0002-0000-0500-000000000000}">
      <formula1>開催日</formula1>
    </dataValidation>
    <dataValidation type="list" allowBlank="1" showInputMessage="1" showErrorMessage="1" sqref="Q2" xr:uid="{00000000-0002-0000-0500-000001000000}">
      <formula1>時刻</formula1>
    </dataValidation>
    <dataValidation type="list" allowBlank="1" showInputMessage="1" showErrorMessage="1" sqref="J3:K3" xr:uid="{00000000-0002-0000-0500-000002000000}">
      <formula1>暫定</formula1>
    </dataValidation>
    <dataValidation type="list" allowBlank="1" showInputMessage="1" showErrorMessage="1" sqref="G2" xr:uid="{00000000-0002-0000-0500-000003000000}">
      <formula1>月</formula1>
    </dataValidation>
    <dataValidation type="list" allowBlank="1" showInputMessage="1" showErrorMessage="1" sqref="N2 F38:G38" xr:uid="{00000000-0002-0000-0500-000004000000}">
      <formula1>コース</formula1>
    </dataValidation>
    <dataValidation type="list" showInputMessage="1" showErrorMessage="1" sqref="E3" xr:uid="{00000000-0002-0000-0500-000005000000}">
      <formula1>レース名</formula1>
    </dataValidation>
    <dataValidation type="list" allowBlank="1" showInputMessage="1" showErrorMessage="1" sqref="I6" xr:uid="{00000000-0002-0000-0500-000006000000}">
      <formula1>ＴＡ</formula1>
    </dataValidation>
    <dataValidation type="list" allowBlank="1" showInputMessage="1" showErrorMessage="1" sqref="D3" xr:uid="{00000000-0002-0000-0500-000007000000}">
      <formula1>レース番号</formula1>
    </dataValidation>
  </dataValidations>
  <pageMargins left="0.31496062992125984" right="0" top="0.35433070866141736" bottom="0.19685039370078741" header="0" footer="0"/>
  <pageSetup paperSize="9" orientation="landscape" horizontalDpi="4294967293"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F49"/>
  <sheetViews>
    <sheetView tabSelected="1" view="pageBreakPreview" topLeftCell="D1" zoomScale="85" zoomScaleNormal="100" zoomScaleSheetLayoutView="85" workbookViewId="0">
      <selection activeCell="T18" sqref="T18"/>
    </sheetView>
  </sheetViews>
  <sheetFormatPr defaultColWidth="9" defaultRowHeight="13" x14ac:dyDescent="0.2"/>
  <cols>
    <col min="1" max="1" width="3" style="185" customWidth="1"/>
    <col min="2" max="2" width="4.26953125" style="185" customWidth="1"/>
    <col min="3" max="3" width="7.26953125" style="185" customWidth="1"/>
    <col min="4" max="4" width="16.26953125" style="185" customWidth="1"/>
    <col min="5" max="10" width="7.90625" style="185" customWidth="1"/>
    <col min="11" max="11" width="7.453125" style="185" customWidth="1"/>
    <col min="12" max="13" width="3.08984375" style="185" customWidth="1"/>
    <col min="14" max="14" width="7.7265625" style="185" customWidth="1"/>
    <col min="15" max="15" width="6.81640625" style="185" customWidth="1"/>
    <col min="16" max="16" width="6.6328125" style="566" customWidth="1"/>
    <col min="17" max="17" width="7.36328125" style="185" customWidth="1"/>
    <col min="18" max="18" width="15.453125" style="185" customWidth="1"/>
    <col min="19" max="20" width="9" style="185"/>
    <col min="21" max="21" width="16.36328125" style="185" customWidth="1"/>
    <col min="22" max="22" width="3" style="185" customWidth="1"/>
    <col min="23" max="23" width="4.26953125" style="185" customWidth="1"/>
    <col min="24" max="24" width="7.26953125" style="185" customWidth="1"/>
    <col min="25" max="25" width="16.26953125" style="185" customWidth="1"/>
    <col min="26" max="31" width="7.90625" style="185" customWidth="1"/>
    <col min="32" max="32" width="7.453125" style="185" customWidth="1"/>
    <col min="33" max="16384" width="9" style="185"/>
  </cols>
  <sheetData>
    <row r="1" spans="2:32" s="195" customFormat="1" ht="19.5" customHeight="1" x14ac:dyDescent="0.2">
      <c r="B1" s="629" t="s">
        <v>283</v>
      </c>
      <c r="C1" s="629"/>
      <c r="D1" s="629"/>
      <c r="E1" s="629"/>
      <c r="F1" s="629"/>
      <c r="G1" s="629"/>
      <c r="H1" s="629"/>
      <c r="I1" s="629"/>
      <c r="J1" s="629"/>
      <c r="K1" s="629"/>
      <c r="L1" s="629"/>
      <c r="M1" s="629"/>
      <c r="N1" s="232"/>
      <c r="O1" s="233"/>
      <c r="P1" s="567"/>
      <c r="W1" s="629" t="s">
        <v>252</v>
      </c>
      <c r="X1" s="629"/>
      <c r="Y1" s="629"/>
      <c r="Z1" s="629"/>
      <c r="AA1" s="629"/>
      <c r="AB1" s="629"/>
      <c r="AC1" s="629"/>
      <c r="AD1" s="629"/>
      <c r="AE1" s="629"/>
      <c r="AF1" s="629"/>
    </row>
    <row r="2" spans="2:32" s="236" customFormat="1" ht="23.25" customHeight="1" x14ac:dyDescent="0.3">
      <c r="B2" s="630" t="s">
        <v>181</v>
      </c>
      <c r="C2" s="630"/>
      <c r="D2" s="630"/>
      <c r="E2" s="630"/>
      <c r="F2" s="630"/>
      <c r="G2" s="630"/>
      <c r="H2" s="630"/>
      <c r="I2" s="630"/>
      <c r="J2" s="630"/>
      <c r="K2" s="630"/>
      <c r="L2" s="630"/>
      <c r="M2" s="630"/>
      <c r="N2" s="234"/>
      <c r="O2" s="235"/>
      <c r="P2" s="630" t="s">
        <v>373</v>
      </c>
      <c r="Q2" s="630"/>
      <c r="R2" s="630"/>
      <c r="S2" s="630"/>
      <c r="T2" s="630"/>
      <c r="U2" s="630"/>
      <c r="W2" s="630" t="s">
        <v>181</v>
      </c>
      <c r="X2" s="630"/>
      <c r="Y2" s="630"/>
      <c r="Z2" s="630"/>
      <c r="AA2" s="630"/>
      <c r="AB2" s="630"/>
      <c r="AC2" s="630"/>
      <c r="AD2" s="630"/>
      <c r="AE2" s="630"/>
      <c r="AF2" s="630"/>
    </row>
    <row r="3" spans="2:32" s="195" customFormat="1" ht="21" customHeight="1" thickBot="1" x14ac:dyDescent="0.25">
      <c r="C3" s="191"/>
      <c r="I3" s="656" t="s">
        <v>374</v>
      </c>
      <c r="J3" s="656"/>
      <c r="K3" s="656"/>
      <c r="L3" s="656"/>
      <c r="M3" s="656"/>
      <c r="N3" s="237"/>
      <c r="O3" s="238"/>
      <c r="P3" s="568"/>
      <c r="X3" s="191"/>
      <c r="AE3" s="631" t="s">
        <v>331</v>
      </c>
      <c r="AF3" s="631"/>
    </row>
    <row r="4" spans="2:32" s="195" customFormat="1" ht="13.5" customHeight="1" x14ac:dyDescent="0.2">
      <c r="B4" s="644" t="s">
        <v>3</v>
      </c>
      <c r="C4" s="646" t="s">
        <v>75</v>
      </c>
      <c r="D4" s="648" t="s">
        <v>76</v>
      </c>
      <c r="E4" s="239" t="s">
        <v>268</v>
      </c>
      <c r="F4" s="239" t="s">
        <v>269</v>
      </c>
      <c r="G4" s="239" t="s">
        <v>271</v>
      </c>
      <c r="H4" s="239" t="s">
        <v>272</v>
      </c>
      <c r="I4" s="239" t="s">
        <v>273</v>
      </c>
      <c r="J4" s="239" t="s">
        <v>274</v>
      </c>
      <c r="K4" s="650" t="s">
        <v>77</v>
      </c>
      <c r="L4" s="652" t="s">
        <v>78</v>
      </c>
      <c r="M4" s="654" t="s">
        <v>79</v>
      </c>
      <c r="N4" s="240" t="s">
        <v>249</v>
      </c>
      <c r="O4" s="238"/>
      <c r="P4" s="566"/>
      <c r="Q4" s="242" t="s">
        <v>330</v>
      </c>
      <c r="R4" s="241"/>
      <c r="S4" s="241"/>
      <c r="W4" s="632" t="s">
        <v>3</v>
      </c>
      <c r="X4" s="635" t="s">
        <v>75</v>
      </c>
      <c r="Y4" s="638" t="s">
        <v>76</v>
      </c>
      <c r="Z4" s="239" t="s">
        <v>234</v>
      </c>
      <c r="AA4" s="239" t="s">
        <v>244</v>
      </c>
      <c r="AB4" s="239" t="s">
        <v>245</v>
      </c>
      <c r="AC4" s="239" t="s">
        <v>246</v>
      </c>
      <c r="AD4" s="239" t="s">
        <v>247</v>
      </c>
      <c r="AE4" s="239" t="s">
        <v>248</v>
      </c>
      <c r="AF4" s="641" t="s">
        <v>77</v>
      </c>
    </row>
    <row r="5" spans="2:32" s="195" customFormat="1" ht="13.5" customHeight="1" x14ac:dyDescent="0.2">
      <c r="B5" s="645"/>
      <c r="C5" s="647"/>
      <c r="D5" s="649"/>
      <c r="E5" s="243">
        <v>45858</v>
      </c>
      <c r="F5" s="243">
        <v>45886</v>
      </c>
      <c r="G5" s="243">
        <v>45921</v>
      </c>
      <c r="H5" s="243">
        <v>45949</v>
      </c>
      <c r="I5" s="243">
        <v>45977</v>
      </c>
      <c r="J5" s="243">
        <v>46012</v>
      </c>
      <c r="K5" s="651"/>
      <c r="L5" s="653"/>
      <c r="M5" s="655"/>
      <c r="N5" s="243">
        <v>45536</v>
      </c>
      <c r="O5" s="238"/>
      <c r="P5" s="566"/>
      <c r="Q5" s="241"/>
      <c r="R5" s="241"/>
      <c r="S5" s="241" t="s">
        <v>329</v>
      </c>
      <c r="T5" s="195" t="s">
        <v>140</v>
      </c>
      <c r="W5" s="633"/>
      <c r="X5" s="636"/>
      <c r="Y5" s="639"/>
      <c r="Z5" s="243">
        <v>45312</v>
      </c>
      <c r="AA5" s="243">
        <v>45340</v>
      </c>
      <c r="AB5" s="243">
        <v>45368</v>
      </c>
      <c r="AC5" s="243">
        <v>45403</v>
      </c>
      <c r="AD5" s="243">
        <v>45431</v>
      </c>
      <c r="AE5" s="243">
        <v>45459</v>
      </c>
      <c r="AF5" s="642"/>
    </row>
    <row r="6" spans="2:32" s="247" customFormat="1" ht="28" x14ac:dyDescent="0.2">
      <c r="B6" s="645"/>
      <c r="C6" s="647"/>
      <c r="D6" s="649"/>
      <c r="E6" s="244" t="s">
        <v>194</v>
      </c>
      <c r="F6" s="244" t="s">
        <v>62</v>
      </c>
      <c r="G6" s="244" t="s">
        <v>224</v>
      </c>
      <c r="H6" s="244" t="s">
        <v>194</v>
      </c>
      <c r="I6" s="244" t="s">
        <v>210</v>
      </c>
      <c r="J6" s="244" t="s">
        <v>62</v>
      </c>
      <c r="K6" s="651"/>
      <c r="L6" s="653"/>
      <c r="M6" s="655"/>
      <c r="N6" s="244" t="s">
        <v>50</v>
      </c>
      <c r="O6" s="565"/>
      <c r="P6" s="572" t="s">
        <v>3</v>
      </c>
      <c r="Q6" s="245" t="s">
        <v>75</v>
      </c>
      <c r="R6" s="246" t="s">
        <v>76</v>
      </c>
      <c r="S6" s="246" t="s">
        <v>77</v>
      </c>
      <c r="T6" s="246" t="s">
        <v>141</v>
      </c>
      <c r="U6" s="246" t="s">
        <v>142</v>
      </c>
      <c r="W6" s="634"/>
      <c r="X6" s="637"/>
      <c r="Y6" s="640"/>
      <c r="Z6" s="244" t="s">
        <v>253</v>
      </c>
      <c r="AA6" s="244" t="s">
        <v>62</v>
      </c>
      <c r="AB6" s="244" t="s">
        <v>194</v>
      </c>
      <c r="AC6" s="244" t="s">
        <v>62</v>
      </c>
      <c r="AD6" s="244" t="s">
        <v>199</v>
      </c>
      <c r="AE6" s="244" t="s">
        <v>254</v>
      </c>
      <c r="AF6" s="643"/>
    </row>
    <row r="7" spans="2:32" s="195" customFormat="1" ht="14" x14ac:dyDescent="0.2">
      <c r="B7" s="248" t="s">
        <v>107</v>
      </c>
      <c r="C7" s="221">
        <v>321</v>
      </c>
      <c r="D7" s="122" t="str">
        <f t="shared" ref="D7:D17" si="0">IF(ISBLANK(C7),"",VLOOKUP(C7,第1月ＴＡ,2,FALSE))</f>
        <v>かまくら</v>
      </c>
      <c r="E7" s="276">
        <v>18</v>
      </c>
      <c r="F7" s="249">
        <v>12.3</v>
      </c>
      <c r="G7" s="249">
        <v>18.5</v>
      </c>
      <c r="H7" s="249">
        <v>17.3</v>
      </c>
      <c r="I7" s="249">
        <v>17.5</v>
      </c>
      <c r="J7" s="249" t="s">
        <v>74</v>
      </c>
      <c r="K7" s="522">
        <v>83.6</v>
      </c>
      <c r="L7" s="516" t="s">
        <v>262</v>
      </c>
      <c r="M7" s="252"/>
      <c r="N7" s="253"/>
      <c r="O7" s="254"/>
      <c r="P7" s="571" t="s">
        <v>80</v>
      </c>
      <c r="Q7" s="121">
        <v>321</v>
      </c>
      <c r="R7" s="122" t="s">
        <v>27</v>
      </c>
      <c r="S7" s="509">
        <v>46.442857142857143</v>
      </c>
      <c r="T7" s="512">
        <v>83.6</v>
      </c>
      <c r="U7" s="255">
        <v>130.04285714285714</v>
      </c>
      <c r="W7" s="248" t="s">
        <v>80</v>
      </c>
      <c r="X7" s="221">
        <v>6732</v>
      </c>
      <c r="Y7" s="222" t="s">
        <v>32</v>
      </c>
      <c r="Z7" s="249">
        <v>17.3</v>
      </c>
      <c r="AA7" s="249">
        <v>18.600000000000001</v>
      </c>
      <c r="AB7" s="250" t="s">
        <v>74</v>
      </c>
      <c r="AC7" s="250">
        <v>20</v>
      </c>
      <c r="AD7" s="250" t="s">
        <v>74</v>
      </c>
      <c r="AE7" s="249" t="s">
        <v>74</v>
      </c>
      <c r="AF7" s="251">
        <v>55.900000000000006</v>
      </c>
    </row>
    <row r="8" spans="2:32" s="195" customFormat="1" ht="14" x14ac:dyDescent="0.2">
      <c r="B8" s="256" t="s">
        <v>81</v>
      </c>
      <c r="C8" s="223">
        <v>7177</v>
      </c>
      <c r="D8" s="133" t="str">
        <f t="shared" si="0"/>
        <v>Miss Emica</v>
      </c>
      <c r="E8" s="287">
        <v>16</v>
      </c>
      <c r="F8" s="257">
        <v>18.5</v>
      </c>
      <c r="G8" s="257">
        <v>20</v>
      </c>
      <c r="H8" s="257">
        <v>10.666666666666666</v>
      </c>
      <c r="I8" s="257">
        <v>5</v>
      </c>
      <c r="J8" s="257" t="s">
        <v>74</v>
      </c>
      <c r="K8" s="523">
        <v>70.166666666666671</v>
      </c>
      <c r="L8" s="517" t="s">
        <v>262</v>
      </c>
      <c r="M8" s="259"/>
      <c r="N8" s="260"/>
      <c r="O8" s="254"/>
      <c r="P8" s="569" t="s">
        <v>81</v>
      </c>
      <c r="Q8" s="132">
        <v>150</v>
      </c>
      <c r="R8" s="133" t="s">
        <v>183</v>
      </c>
      <c r="S8" s="509">
        <v>48.5</v>
      </c>
      <c r="T8" s="512">
        <v>69.2</v>
      </c>
      <c r="U8" s="255">
        <v>117.7</v>
      </c>
      <c r="W8" s="256" t="s">
        <v>81</v>
      </c>
      <c r="X8" s="223">
        <v>150</v>
      </c>
      <c r="Y8" s="224" t="s">
        <v>183</v>
      </c>
      <c r="Z8" s="257">
        <v>20</v>
      </c>
      <c r="AA8" s="257">
        <v>10.7</v>
      </c>
      <c r="AB8" s="257" t="s">
        <v>74</v>
      </c>
      <c r="AC8" s="262">
        <v>17.8</v>
      </c>
      <c r="AD8" s="257" t="s">
        <v>74</v>
      </c>
      <c r="AE8" s="257" t="s">
        <v>74</v>
      </c>
      <c r="AF8" s="258">
        <v>48.5</v>
      </c>
    </row>
    <row r="9" spans="2:32" s="195" customFormat="1" ht="14" x14ac:dyDescent="0.2">
      <c r="B9" s="256" t="s">
        <v>82</v>
      </c>
      <c r="C9" s="223">
        <v>312</v>
      </c>
      <c r="D9" s="133" t="str">
        <f t="shared" si="0"/>
        <v>はやとり</v>
      </c>
      <c r="E9" s="257">
        <v>20</v>
      </c>
      <c r="F9" s="257">
        <v>10.7</v>
      </c>
      <c r="G9" s="257">
        <v>10.8</v>
      </c>
      <c r="H9" s="257">
        <v>14.7</v>
      </c>
      <c r="I9" s="257">
        <v>13.8</v>
      </c>
      <c r="J9" s="257" t="s">
        <v>74</v>
      </c>
      <c r="K9" s="523">
        <v>70</v>
      </c>
      <c r="L9" s="517" t="s">
        <v>262</v>
      </c>
      <c r="M9" s="259"/>
      <c r="N9" s="260"/>
      <c r="O9" s="254"/>
      <c r="P9" s="569" t="s">
        <v>82</v>
      </c>
      <c r="Q9" s="132">
        <v>6732</v>
      </c>
      <c r="R9" s="133" t="s">
        <v>32</v>
      </c>
      <c r="S9" s="509">
        <v>55.900000000000006</v>
      </c>
      <c r="T9" s="512">
        <v>52.25</v>
      </c>
      <c r="U9" s="255">
        <v>108.15</v>
      </c>
      <c r="W9" s="256" t="s">
        <v>82</v>
      </c>
      <c r="X9" s="223">
        <v>321</v>
      </c>
      <c r="Y9" s="224" t="s">
        <v>27</v>
      </c>
      <c r="Z9" s="264">
        <v>16</v>
      </c>
      <c r="AA9" s="257">
        <v>17.100000000000001</v>
      </c>
      <c r="AB9" s="265" t="s">
        <v>74</v>
      </c>
      <c r="AC9" s="258">
        <v>13.342857142857143</v>
      </c>
      <c r="AD9" s="264" t="s">
        <v>74</v>
      </c>
      <c r="AE9" s="257" t="s">
        <v>74</v>
      </c>
      <c r="AF9" s="258">
        <v>46.442857142857143</v>
      </c>
    </row>
    <row r="10" spans="2:32" s="195" customFormat="1" ht="14" x14ac:dyDescent="0.2">
      <c r="B10" s="256" t="s">
        <v>83</v>
      </c>
      <c r="C10" s="223">
        <v>150</v>
      </c>
      <c r="D10" s="133" t="str">
        <f t="shared" si="0"/>
        <v>SHARK X</v>
      </c>
      <c r="E10" s="257" t="s">
        <v>74</v>
      </c>
      <c r="F10" s="257">
        <v>16.899999999999999</v>
      </c>
      <c r="G10" s="257">
        <v>12.3</v>
      </c>
      <c r="H10" s="257">
        <v>20</v>
      </c>
      <c r="I10" s="257">
        <v>20</v>
      </c>
      <c r="J10" s="257" t="s">
        <v>74</v>
      </c>
      <c r="K10" s="523">
        <v>69.2</v>
      </c>
      <c r="L10" s="517"/>
      <c r="M10" s="259" t="s">
        <v>262</v>
      </c>
      <c r="N10" s="260"/>
      <c r="O10" s="254"/>
      <c r="P10" s="569" t="s">
        <v>83</v>
      </c>
      <c r="Q10" s="132">
        <v>2759</v>
      </c>
      <c r="R10" s="133" t="s">
        <v>328</v>
      </c>
      <c r="S10" s="509">
        <v>41.9</v>
      </c>
      <c r="T10" s="512">
        <v>56.4</v>
      </c>
      <c r="U10" s="255">
        <v>98.3</v>
      </c>
      <c r="W10" s="256" t="s">
        <v>83</v>
      </c>
      <c r="X10" s="223">
        <v>2759</v>
      </c>
      <c r="Y10" s="224" t="s">
        <v>328</v>
      </c>
      <c r="Z10" s="257">
        <v>18.7</v>
      </c>
      <c r="AA10" s="257">
        <v>14.3</v>
      </c>
      <c r="AB10" s="257" t="s">
        <v>74</v>
      </c>
      <c r="AC10" s="257">
        <v>8.9</v>
      </c>
      <c r="AD10" s="257" t="s">
        <v>74</v>
      </c>
      <c r="AE10" s="257" t="s">
        <v>74</v>
      </c>
      <c r="AF10" s="258">
        <v>41.9</v>
      </c>
    </row>
    <row r="11" spans="2:32" s="195" customFormat="1" ht="14" x14ac:dyDescent="0.2">
      <c r="B11" s="266" t="s">
        <v>108</v>
      </c>
      <c r="C11" s="223">
        <v>6269</v>
      </c>
      <c r="D11" s="133" t="str">
        <f t="shared" si="0"/>
        <v>VITTORIA</v>
      </c>
      <c r="E11" s="268">
        <v>10</v>
      </c>
      <c r="F11" s="268">
        <v>13.8</v>
      </c>
      <c r="G11" s="268">
        <v>13.8</v>
      </c>
      <c r="H11" s="268">
        <v>16</v>
      </c>
      <c r="I11" s="268">
        <v>8.8000000000000007</v>
      </c>
      <c r="J11" s="268" t="s">
        <v>74</v>
      </c>
      <c r="K11" s="524">
        <v>62.400000000000006</v>
      </c>
      <c r="L11" s="518" t="s">
        <v>262</v>
      </c>
      <c r="M11" s="271"/>
      <c r="N11" s="272"/>
      <c r="O11" s="254"/>
      <c r="P11" s="573" t="s">
        <v>84</v>
      </c>
      <c r="Q11" s="144">
        <v>6269</v>
      </c>
      <c r="R11" s="133" t="s">
        <v>230</v>
      </c>
      <c r="S11" s="510">
        <v>34.299999999999997</v>
      </c>
      <c r="T11" s="513">
        <v>62.400000000000006</v>
      </c>
      <c r="U11" s="273">
        <v>96.7</v>
      </c>
      <c r="W11" s="266" t="s">
        <v>84</v>
      </c>
      <c r="X11" s="225">
        <v>6269</v>
      </c>
      <c r="Y11" s="267" t="s">
        <v>230</v>
      </c>
      <c r="Z11" s="274">
        <v>13.3</v>
      </c>
      <c r="AA11" s="268">
        <v>20</v>
      </c>
      <c r="AB11" s="275" t="s">
        <v>74</v>
      </c>
      <c r="AC11" s="268">
        <v>1</v>
      </c>
      <c r="AD11" s="268" t="s">
        <v>74</v>
      </c>
      <c r="AE11" s="268" t="s">
        <v>74</v>
      </c>
      <c r="AF11" s="270">
        <v>34.299999999999997</v>
      </c>
    </row>
    <row r="12" spans="2:32" s="195" customFormat="1" ht="14" x14ac:dyDescent="0.2">
      <c r="B12" s="248" t="s">
        <v>322</v>
      </c>
      <c r="C12" s="221">
        <v>380</v>
      </c>
      <c r="D12" s="122" t="str">
        <f t="shared" si="0"/>
        <v>テティス</v>
      </c>
      <c r="E12" s="249" t="s">
        <v>74</v>
      </c>
      <c r="F12" s="249">
        <v>20</v>
      </c>
      <c r="G12" s="249">
        <v>4.5999999999999996</v>
      </c>
      <c r="H12" s="249">
        <v>13.3</v>
      </c>
      <c r="I12" s="249">
        <v>18.8</v>
      </c>
      <c r="J12" s="249" t="s">
        <v>74</v>
      </c>
      <c r="K12" s="522">
        <v>56.7</v>
      </c>
      <c r="L12" s="516"/>
      <c r="M12" s="252" t="s">
        <v>262</v>
      </c>
      <c r="N12" s="253"/>
      <c r="O12" s="254"/>
      <c r="P12" s="571" t="s">
        <v>85</v>
      </c>
      <c r="Q12" s="505">
        <v>7177</v>
      </c>
      <c r="R12" s="222" t="s">
        <v>257</v>
      </c>
      <c r="S12" s="511">
        <v>21.9</v>
      </c>
      <c r="T12" s="511">
        <v>70.166666666666671</v>
      </c>
      <c r="U12" s="279">
        <v>92.066666666666663</v>
      </c>
      <c r="W12" s="248" t="s">
        <v>85</v>
      </c>
      <c r="X12" s="221">
        <v>1733</v>
      </c>
      <c r="Y12" s="222" t="s">
        <v>129</v>
      </c>
      <c r="Z12" s="249">
        <v>5.3</v>
      </c>
      <c r="AA12" s="249">
        <v>7.1</v>
      </c>
      <c r="AB12" s="280" t="s">
        <v>74</v>
      </c>
      <c r="AC12" s="249">
        <v>15.6</v>
      </c>
      <c r="AD12" s="249" t="s">
        <v>74</v>
      </c>
      <c r="AE12" s="249" t="s">
        <v>74</v>
      </c>
      <c r="AF12" s="277">
        <v>28</v>
      </c>
    </row>
    <row r="13" spans="2:32" s="195" customFormat="1" ht="14" x14ac:dyDescent="0.2">
      <c r="B13" s="256" t="s">
        <v>86</v>
      </c>
      <c r="C13" s="223">
        <v>2759</v>
      </c>
      <c r="D13" s="133" t="str">
        <f t="shared" si="0"/>
        <v>IXORA Ⅳ</v>
      </c>
      <c r="E13" s="287">
        <v>14</v>
      </c>
      <c r="F13" s="257">
        <v>9.1999999999999993</v>
      </c>
      <c r="G13" s="257">
        <v>6.2</v>
      </c>
      <c r="H13" s="257">
        <v>12</v>
      </c>
      <c r="I13" s="257">
        <v>15</v>
      </c>
      <c r="J13" s="257" t="s">
        <v>74</v>
      </c>
      <c r="K13" s="523">
        <v>56.4</v>
      </c>
      <c r="L13" s="517" t="s">
        <v>262</v>
      </c>
      <c r="M13" s="259"/>
      <c r="N13" s="260"/>
      <c r="O13" s="254"/>
      <c r="P13" s="569" t="s">
        <v>86</v>
      </c>
      <c r="Q13" s="132">
        <v>312</v>
      </c>
      <c r="R13" s="224" t="s">
        <v>26</v>
      </c>
      <c r="S13" s="512">
        <v>17.7</v>
      </c>
      <c r="T13" s="512">
        <v>70</v>
      </c>
      <c r="U13" s="255">
        <v>87.7</v>
      </c>
      <c r="W13" s="256" t="s">
        <v>86</v>
      </c>
      <c r="X13" s="223">
        <v>1611</v>
      </c>
      <c r="Y13" s="224" t="s">
        <v>226</v>
      </c>
      <c r="Z13" s="257">
        <v>14.7</v>
      </c>
      <c r="AA13" s="257">
        <v>11.4</v>
      </c>
      <c r="AB13" s="262" t="s">
        <v>74</v>
      </c>
      <c r="AC13" s="257">
        <v>1</v>
      </c>
      <c r="AD13" s="263" t="s">
        <v>74</v>
      </c>
      <c r="AE13" s="257" t="s">
        <v>74</v>
      </c>
      <c r="AF13" s="258">
        <v>27.1</v>
      </c>
    </row>
    <row r="14" spans="2:32" s="195" customFormat="1" ht="14" x14ac:dyDescent="0.2">
      <c r="B14" s="256" t="s">
        <v>87</v>
      </c>
      <c r="C14" s="223">
        <v>6732</v>
      </c>
      <c r="D14" s="133" t="str">
        <f t="shared" si="0"/>
        <v>アイデアル</v>
      </c>
      <c r="E14" s="257">
        <v>6</v>
      </c>
      <c r="F14" s="257">
        <v>7.7</v>
      </c>
      <c r="G14" s="257">
        <v>9.1999999999999993</v>
      </c>
      <c r="H14" s="257">
        <v>18.7</v>
      </c>
      <c r="I14" s="257">
        <v>10.650000000000002</v>
      </c>
      <c r="J14" s="257" t="s">
        <v>74</v>
      </c>
      <c r="K14" s="523">
        <v>52.25</v>
      </c>
      <c r="L14" s="517" t="s">
        <v>262</v>
      </c>
      <c r="M14" s="259"/>
      <c r="N14" s="260"/>
      <c r="O14" s="254"/>
      <c r="P14" s="569" t="s">
        <v>87</v>
      </c>
      <c r="Q14" s="132">
        <v>380</v>
      </c>
      <c r="R14" s="133" t="s">
        <v>133</v>
      </c>
      <c r="S14" s="512">
        <v>10.7</v>
      </c>
      <c r="T14" s="512">
        <v>56.7</v>
      </c>
      <c r="U14" s="255">
        <v>67.400000000000006</v>
      </c>
      <c r="W14" s="256" t="s">
        <v>87</v>
      </c>
      <c r="X14" s="223">
        <v>5797</v>
      </c>
      <c r="Y14" s="224" t="s">
        <v>238</v>
      </c>
      <c r="Z14" s="257">
        <v>10.7</v>
      </c>
      <c r="AA14" s="257">
        <v>15.7</v>
      </c>
      <c r="AB14" s="262" t="s">
        <v>74</v>
      </c>
      <c r="AC14" s="257" t="s">
        <v>74</v>
      </c>
      <c r="AD14" s="257" t="s">
        <v>74</v>
      </c>
      <c r="AE14" s="257" t="s">
        <v>74</v>
      </c>
      <c r="AF14" s="258">
        <v>26.4</v>
      </c>
    </row>
    <row r="15" spans="2:32" s="195" customFormat="1" ht="14" x14ac:dyDescent="0.2">
      <c r="B15" s="256" t="s">
        <v>88</v>
      </c>
      <c r="C15" s="223">
        <v>1611</v>
      </c>
      <c r="D15" s="133" t="str">
        <f t="shared" si="0"/>
        <v>ﾈﾌﾟﾁｭｰﾝXⅡ</v>
      </c>
      <c r="E15" s="282">
        <v>1</v>
      </c>
      <c r="F15" s="257">
        <v>15.4</v>
      </c>
      <c r="G15" s="257">
        <v>10.730769230769228</v>
      </c>
      <c r="H15" s="257">
        <v>10.7</v>
      </c>
      <c r="I15" s="257" t="s">
        <v>74</v>
      </c>
      <c r="J15" s="257" t="s">
        <v>74</v>
      </c>
      <c r="K15" s="523">
        <v>37.830769230769221</v>
      </c>
      <c r="L15" s="517"/>
      <c r="M15" s="259" t="s">
        <v>262</v>
      </c>
      <c r="N15" s="260"/>
      <c r="O15" s="254"/>
      <c r="P15" s="569" t="s">
        <v>88</v>
      </c>
      <c r="Q15" s="132">
        <v>1733</v>
      </c>
      <c r="R15" s="133" t="s">
        <v>129</v>
      </c>
      <c r="S15" s="512">
        <v>28</v>
      </c>
      <c r="T15" s="512">
        <v>37.5</v>
      </c>
      <c r="U15" s="255">
        <v>65.5</v>
      </c>
      <c r="W15" s="256" t="s">
        <v>88</v>
      </c>
      <c r="X15" s="223">
        <v>7177</v>
      </c>
      <c r="Y15" s="224" t="s">
        <v>257</v>
      </c>
      <c r="Z15" s="257" t="s">
        <v>74</v>
      </c>
      <c r="AA15" s="257">
        <v>8.6</v>
      </c>
      <c r="AB15" s="257" t="s">
        <v>74</v>
      </c>
      <c r="AC15" s="263">
        <v>13.3</v>
      </c>
      <c r="AD15" s="257" t="s">
        <v>74</v>
      </c>
      <c r="AE15" s="257" t="s">
        <v>74</v>
      </c>
      <c r="AF15" s="258">
        <v>21.9</v>
      </c>
    </row>
    <row r="16" spans="2:32" s="195" customFormat="1" ht="14" x14ac:dyDescent="0.2">
      <c r="B16" s="266" t="s">
        <v>323</v>
      </c>
      <c r="C16" s="223">
        <v>1733</v>
      </c>
      <c r="D16" s="133" t="str">
        <f t="shared" si="0"/>
        <v>ケロニア</v>
      </c>
      <c r="E16" s="268">
        <v>8</v>
      </c>
      <c r="F16" s="268" t="s">
        <v>74</v>
      </c>
      <c r="G16" s="268">
        <v>7.7</v>
      </c>
      <c r="H16" s="268">
        <v>9.3000000000000007</v>
      </c>
      <c r="I16" s="268">
        <v>12.5</v>
      </c>
      <c r="J16" s="268" t="s">
        <v>74</v>
      </c>
      <c r="K16" s="524">
        <v>37.5</v>
      </c>
      <c r="L16" s="518"/>
      <c r="M16" s="271" t="s">
        <v>262</v>
      </c>
      <c r="N16" s="272"/>
      <c r="O16" s="254"/>
      <c r="P16" s="573" t="s">
        <v>89</v>
      </c>
      <c r="Q16" s="144">
        <v>1611</v>
      </c>
      <c r="R16" s="145" t="s">
        <v>226</v>
      </c>
      <c r="S16" s="513">
        <v>27.1</v>
      </c>
      <c r="T16" s="513">
        <v>37.830769230769221</v>
      </c>
      <c r="U16" s="273">
        <v>64.930769230769215</v>
      </c>
      <c r="W16" s="266" t="s">
        <v>89</v>
      </c>
      <c r="X16" s="225">
        <v>312</v>
      </c>
      <c r="Y16" s="226" t="s">
        <v>26</v>
      </c>
      <c r="Z16" s="268">
        <v>12</v>
      </c>
      <c r="AA16" s="268">
        <v>5.7</v>
      </c>
      <c r="AB16" s="268" t="s">
        <v>74</v>
      </c>
      <c r="AC16" s="268" t="s">
        <v>74</v>
      </c>
      <c r="AD16" s="268" t="s">
        <v>74</v>
      </c>
      <c r="AE16" s="268" t="s">
        <v>74</v>
      </c>
      <c r="AF16" s="270">
        <v>17.7</v>
      </c>
    </row>
    <row r="17" spans="2:32" s="195" customFormat="1" ht="14" x14ac:dyDescent="0.2">
      <c r="B17" s="248" t="s">
        <v>109</v>
      </c>
      <c r="C17" s="221">
        <v>5797</v>
      </c>
      <c r="D17" s="122" t="str">
        <f t="shared" si="0"/>
        <v>Zipang</v>
      </c>
      <c r="E17" s="249" t="s">
        <v>74</v>
      </c>
      <c r="F17" s="249" t="s">
        <v>74</v>
      </c>
      <c r="G17" s="249">
        <v>15.4</v>
      </c>
      <c r="H17" s="249">
        <v>4</v>
      </c>
      <c r="I17" s="249">
        <v>16.3</v>
      </c>
      <c r="J17" s="249" t="s">
        <v>74</v>
      </c>
      <c r="K17" s="522">
        <v>35.700000000000003</v>
      </c>
      <c r="L17" s="516"/>
      <c r="M17" s="252" t="s">
        <v>262</v>
      </c>
      <c r="N17" s="253"/>
      <c r="O17" s="254"/>
      <c r="P17" s="571" t="s">
        <v>90</v>
      </c>
      <c r="Q17" s="121">
        <v>5797</v>
      </c>
      <c r="R17" s="177" t="s">
        <v>238</v>
      </c>
      <c r="S17" s="512">
        <v>26.4</v>
      </c>
      <c r="T17" s="511">
        <v>35.700000000000003</v>
      </c>
      <c r="U17" s="279">
        <v>62.1</v>
      </c>
      <c r="W17" s="248" t="s">
        <v>90</v>
      </c>
      <c r="X17" s="221">
        <v>131</v>
      </c>
      <c r="Y17" s="229" t="s">
        <v>23</v>
      </c>
      <c r="Z17" s="249">
        <v>6.7</v>
      </c>
      <c r="AA17" s="276">
        <v>2.9</v>
      </c>
      <c r="AB17" s="280" t="s">
        <v>74</v>
      </c>
      <c r="AC17" s="249">
        <v>6.7</v>
      </c>
      <c r="AD17" s="249" t="s">
        <v>74</v>
      </c>
      <c r="AE17" s="285" t="s">
        <v>74</v>
      </c>
      <c r="AF17" s="277">
        <v>16.3</v>
      </c>
    </row>
    <row r="18" spans="2:32" s="195" customFormat="1" ht="14" x14ac:dyDescent="0.2">
      <c r="B18" s="256" t="s">
        <v>110</v>
      </c>
      <c r="C18" s="223">
        <v>4071</v>
      </c>
      <c r="D18" s="133" t="s">
        <v>314</v>
      </c>
      <c r="E18" s="287" t="s">
        <v>74</v>
      </c>
      <c r="F18" s="257">
        <v>4.5999999999999996</v>
      </c>
      <c r="G18" s="257">
        <v>16.899999999999999</v>
      </c>
      <c r="H18" s="257" t="s">
        <v>74</v>
      </c>
      <c r="I18" s="257">
        <v>2.5</v>
      </c>
      <c r="J18" s="257" t="s">
        <v>74</v>
      </c>
      <c r="K18" s="523">
        <v>24</v>
      </c>
      <c r="L18" s="517"/>
      <c r="M18" s="259" t="s">
        <v>262</v>
      </c>
      <c r="N18" s="260"/>
      <c r="O18" s="254"/>
      <c r="P18" s="569" t="s">
        <v>91</v>
      </c>
      <c r="Q18" s="223">
        <v>346</v>
      </c>
      <c r="R18" s="229" t="s">
        <v>237</v>
      </c>
      <c r="S18" s="512">
        <v>13.8</v>
      </c>
      <c r="T18" s="512">
        <v>16.900000000000002</v>
      </c>
      <c r="U18" s="255">
        <v>30.700000000000003</v>
      </c>
      <c r="W18" s="256" t="s">
        <v>91</v>
      </c>
      <c r="X18" s="223">
        <v>199</v>
      </c>
      <c r="Y18" s="229" t="s">
        <v>25</v>
      </c>
      <c r="Z18" s="257">
        <v>2.7</v>
      </c>
      <c r="AA18" s="257">
        <v>12.9</v>
      </c>
      <c r="AB18" s="262" t="s">
        <v>74</v>
      </c>
      <c r="AC18" s="257" t="s">
        <v>74</v>
      </c>
      <c r="AD18" s="257" t="s">
        <v>74</v>
      </c>
      <c r="AE18" s="257" t="s">
        <v>74</v>
      </c>
      <c r="AF18" s="258">
        <v>15.600000000000001</v>
      </c>
    </row>
    <row r="19" spans="2:32" s="195" customFormat="1" ht="14" x14ac:dyDescent="0.2">
      <c r="B19" s="256" t="s">
        <v>92</v>
      </c>
      <c r="C19" s="223">
        <v>6766</v>
      </c>
      <c r="D19" s="133" t="str">
        <f>IF(ISBLANK(C19),"",VLOOKUP(C19,第1月ＴＡ,2,FALSE))</f>
        <v>くろしお</v>
      </c>
      <c r="E19" s="257" t="s">
        <v>74</v>
      </c>
      <c r="F19" s="257" t="s">
        <v>74</v>
      </c>
      <c r="G19" s="257" t="s">
        <v>74</v>
      </c>
      <c r="H19" s="257">
        <v>8</v>
      </c>
      <c r="I19" s="257">
        <v>10</v>
      </c>
      <c r="J19" s="257" t="s">
        <v>74</v>
      </c>
      <c r="K19" s="523">
        <v>18</v>
      </c>
      <c r="L19" s="517"/>
      <c r="M19" s="259" t="s">
        <v>262</v>
      </c>
      <c r="N19" s="260"/>
      <c r="O19" s="254"/>
      <c r="P19" s="569" t="s">
        <v>92</v>
      </c>
      <c r="Q19" s="329">
        <v>199</v>
      </c>
      <c r="R19" s="133" t="s">
        <v>25</v>
      </c>
      <c r="S19" s="512">
        <v>15.600000000000001</v>
      </c>
      <c r="T19" s="512">
        <v>13.6</v>
      </c>
      <c r="U19" s="255">
        <v>29.200000000000003</v>
      </c>
      <c r="W19" s="256" t="s">
        <v>92</v>
      </c>
      <c r="X19" s="223">
        <v>346</v>
      </c>
      <c r="Y19" s="224" t="s">
        <v>237</v>
      </c>
      <c r="Z19" s="257">
        <v>1.3</v>
      </c>
      <c r="AA19" s="263">
        <v>1.4</v>
      </c>
      <c r="AB19" s="263" t="s">
        <v>74</v>
      </c>
      <c r="AC19" s="257">
        <v>11.1</v>
      </c>
      <c r="AD19" s="257" t="s">
        <v>74</v>
      </c>
      <c r="AE19" s="257" t="s">
        <v>74</v>
      </c>
      <c r="AF19" s="258">
        <v>13.8</v>
      </c>
    </row>
    <row r="20" spans="2:32" s="195" customFormat="1" ht="14" x14ac:dyDescent="0.2">
      <c r="B20" s="256" t="s">
        <v>93</v>
      </c>
      <c r="C20" s="223">
        <v>346</v>
      </c>
      <c r="D20" s="133" t="str">
        <f>IF(ISBLANK(C20),"",VLOOKUP(C20,第1月ＴＡ,2,FALSE))</f>
        <v>飛車角</v>
      </c>
      <c r="E20" s="257">
        <v>1</v>
      </c>
      <c r="F20" s="257">
        <v>10.8</v>
      </c>
      <c r="G20" s="257" t="s">
        <v>74</v>
      </c>
      <c r="H20" s="257">
        <v>1.3</v>
      </c>
      <c r="I20" s="257">
        <v>3.8</v>
      </c>
      <c r="J20" s="257" t="s">
        <v>74</v>
      </c>
      <c r="K20" s="523">
        <v>16.900000000000002</v>
      </c>
      <c r="L20" s="517"/>
      <c r="M20" s="259" t="s">
        <v>262</v>
      </c>
      <c r="N20" s="260"/>
      <c r="O20" s="254"/>
      <c r="P20" s="569" t="s">
        <v>93</v>
      </c>
      <c r="Q20" s="132">
        <v>131</v>
      </c>
      <c r="R20" s="133" t="s">
        <v>23</v>
      </c>
      <c r="S20" s="512">
        <v>16.3</v>
      </c>
      <c r="T20" s="512">
        <v>11.2</v>
      </c>
      <c r="U20" s="255">
        <v>27.5</v>
      </c>
      <c r="W20" s="256" t="s">
        <v>93</v>
      </c>
      <c r="X20" s="223">
        <v>5537</v>
      </c>
      <c r="Y20" s="224" t="s">
        <v>256</v>
      </c>
      <c r="Z20" s="257">
        <v>8</v>
      </c>
      <c r="AA20" s="262">
        <v>4.3</v>
      </c>
      <c r="AB20" s="262" t="s">
        <v>74</v>
      </c>
      <c r="AC20" s="257" t="s">
        <v>74</v>
      </c>
      <c r="AD20" s="257" t="s">
        <v>74</v>
      </c>
      <c r="AE20" s="257" t="s">
        <v>74</v>
      </c>
      <c r="AF20" s="258">
        <v>12.3</v>
      </c>
    </row>
    <row r="21" spans="2:32" s="195" customFormat="1" ht="14" x14ac:dyDescent="0.2">
      <c r="B21" s="266" t="s">
        <v>324</v>
      </c>
      <c r="C21" s="223">
        <v>199</v>
      </c>
      <c r="D21" s="133" t="str">
        <f>IF(ISBLANK(C21),"",VLOOKUP(C21,第1月ＴＡ,2,FALSE))</f>
        <v>サ－モン4</v>
      </c>
      <c r="E21" s="274" t="s">
        <v>74</v>
      </c>
      <c r="F21" s="268">
        <v>1</v>
      </c>
      <c r="G21" s="268">
        <v>1</v>
      </c>
      <c r="H21" s="268">
        <v>5.3</v>
      </c>
      <c r="I21" s="268">
        <v>6.3</v>
      </c>
      <c r="J21" s="268" t="s">
        <v>74</v>
      </c>
      <c r="K21" s="524">
        <v>13.6</v>
      </c>
      <c r="L21" s="518"/>
      <c r="M21" s="271" t="s">
        <v>262</v>
      </c>
      <c r="N21" s="272"/>
      <c r="O21" s="254"/>
      <c r="P21" s="573" t="s">
        <v>94</v>
      </c>
      <c r="Q21" s="144">
        <v>4071</v>
      </c>
      <c r="R21" s="346" t="s">
        <v>314</v>
      </c>
      <c r="S21" s="513"/>
      <c r="T21" s="513">
        <v>24</v>
      </c>
      <c r="U21" s="273">
        <v>24</v>
      </c>
      <c r="W21" s="266" t="s">
        <v>94</v>
      </c>
      <c r="X21" s="225">
        <v>380</v>
      </c>
      <c r="Y21" s="267" t="s">
        <v>133</v>
      </c>
      <c r="Z21" s="268">
        <v>10.7</v>
      </c>
      <c r="AA21" s="268" t="s">
        <v>74</v>
      </c>
      <c r="AB21" s="275" t="s">
        <v>74</v>
      </c>
      <c r="AC21" s="268" t="s">
        <v>74</v>
      </c>
      <c r="AD21" s="268" t="s">
        <v>74</v>
      </c>
      <c r="AE21" s="268" t="s">
        <v>74</v>
      </c>
      <c r="AF21" s="270">
        <v>10.7</v>
      </c>
    </row>
    <row r="22" spans="2:32" s="195" customFormat="1" ht="14" x14ac:dyDescent="0.2">
      <c r="B22" s="248" t="s">
        <v>325</v>
      </c>
      <c r="C22" s="221">
        <v>5496</v>
      </c>
      <c r="D22" s="122" t="s">
        <v>313</v>
      </c>
      <c r="E22" s="276" t="s">
        <v>74</v>
      </c>
      <c r="F22" s="249">
        <v>6.2</v>
      </c>
      <c r="G22" s="249" t="s">
        <v>74</v>
      </c>
      <c r="H22" s="249">
        <v>6.7</v>
      </c>
      <c r="I22" s="249" t="s">
        <v>74</v>
      </c>
      <c r="J22" s="249" t="s">
        <v>74</v>
      </c>
      <c r="K22" s="522">
        <v>12.9</v>
      </c>
      <c r="L22" s="516"/>
      <c r="M22" s="252" t="s">
        <v>262</v>
      </c>
      <c r="N22" s="253"/>
      <c r="O22" s="254"/>
      <c r="P22" s="571" t="s">
        <v>95</v>
      </c>
      <c r="Q22" s="227">
        <v>5537</v>
      </c>
      <c r="R22" s="222" t="s">
        <v>256</v>
      </c>
      <c r="S22" s="511">
        <v>12.3</v>
      </c>
      <c r="T22" s="511">
        <v>7.5</v>
      </c>
      <c r="U22" s="279">
        <v>19.8</v>
      </c>
      <c r="W22" s="248" t="s">
        <v>95</v>
      </c>
      <c r="X22" s="286">
        <v>6934</v>
      </c>
      <c r="Y22" s="222" t="s">
        <v>214</v>
      </c>
      <c r="Z22" s="249" t="s">
        <v>74</v>
      </c>
      <c r="AA22" s="280">
        <v>10</v>
      </c>
      <c r="AB22" s="280" t="s">
        <v>74</v>
      </c>
      <c r="AC22" s="276" t="s">
        <v>74</v>
      </c>
      <c r="AD22" s="249" t="s">
        <v>74</v>
      </c>
      <c r="AE22" s="249" t="s">
        <v>74</v>
      </c>
      <c r="AF22" s="277">
        <v>10</v>
      </c>
    </row>
    <row r="23" spans="2:32" s="195" customFormat="1" ht="14" x14ac:dyDescent="0.2">
      <c r="B23" s="256" t="s">
        <v>326</v>
      </c>
      <c r="C23" s="223">
        <v>4020</v>
      </c>
      <c r="D23" s="133" t="str">
        <f>IF(ISBLANK(C23),"",VLOOKUP(C23,第1月ＴＡ,2,FALSE))</f>
        <v>MELTEMI</v>
      </c>
      <c r="E23" s="287">
        <v>12</v>
      </c>
      <c r="F23" s="257" t="s">
        <v>74</v>
      </c>
      <c r="G23" s="257" t="s">
        <v>74</v>
      </c>
      <c r="H23" s="257" t="s">
        <v>74</v>
      </c>
      <c r="I23" s="257" t="s">
        <v>74</v>
      </c>
      <c r="J23" s="257" t="s">
        <v>74</v>
      </c>
      <c r="K23" s="523">
        <v>12</v>
      </c>
      <c r="L23" s="517"/>
      <c r="M23" s="259"/>
      <c r="N23" s="260"/>
      <c r="O23" s="254"/>
      <c r="P23" s="569" t="s">
        <v>96</v>
      </c>
      <c r="Q23" s="132">
        <v>6766</v>
      </c>
      <c r="R23" s="224" t="s">
        <v>31</v>
      </c>
      <c r="S23" s="512"/>
      <c r="T23" s="512">
        <v>18</v>
      </c>
      <c r="U23" s="255">
        <v>18</v>
      </c>
      <c r="W23" s="256" t="s">
        <v>96</v>
      </c>
      <c r="X23" s="223">
        <v>3387</v>
      </c>
      <c r="Y23" s="224" t="s">
        <v>136</v>
      </c>
      <c r="Z23" s="265">
        <v>9.3000000000000007</v>
      </c>
      <c r="AA23" s="282" t="s">
        <v>74</v>
      </c>
      <c r="AB23" s="262" t="s">
        <v>74</v>
      </c>
      <c r="AC23" s="257" t="s">
        <v>74</v>
      </c>
      <c r="AD23" s="257" t="s">
        <v>74</v>
      </c>
      <c r="AE23" s="257" t="s">
        <v>74</v>
      </c>
      <c r="AF23" s="258">
        <v>9.3000000000000007</v>
      </c>
    </row>
    <row r="24" spans="2:32" s="195" customFormat="1" ht="14" x14ac:dyDescent="0.2">
      <c r="B24" s="256" t="s">
        <v>97</v>
      </c>
      <c r="C24" s="223">
        <v>6793</v>
      </c>
      <c r="D24" s="133" t="str">
        <f>IF(ISBLANK(C24),"",VLOOKUP(C24,第1月ＴＡ,2,FALSE))</f>
        <v>Miss Nippon</v>
      </c>
      <c r="E24" s="257" t="s">
        <v>74</v>
      </c>
      <c r="F24" s="257" t="s">
        <v>74</v>
      </c>
      <c r="G24" s="257" t="s">
        <v>74</v>
      </c>
      <c r="H24" s="257" t="s">
        <v>74</v>
      </c>
      <c r="I24" s="257">
        <v>11.3</v>
      </c>
      <c r="J24" s="257" t="s">
        <v>74</v>
      </c>
      <c r="K24" s="523">
        <v>11.3</v>
      </c>
      <c r="L24" s="517"/>
      <c r="M24" s="259"/>
      <c r="N24" s="260"/>
      <c r="O24" s="254"/>
      <c r="P24" s="569" t="s">
        <v>97</v>
      </c>
      <c r="Q24" s="132">
        <v>5496</v>
      </c>
      <c r="R24" s="224" t="s">
        <v>184</v>
      </c>
      <c r="S24" s="512">
        <v>4</v>
      </c>
      <c r="T24" s="512">
        <v>12.9</v>
      </c>
      <c r="U24" s="255">
        <v>16.899999999999999</v>
      </c>
      <c r="W24" s="256" t="s">
        <v>97</v>
      </c>
      <c r="X24" s="223">
        <v>5496</v>
      </c>
      <c r="Y24" s="224" t="s">
        <v>184</v>
      </c>
      <c r="Z24" s="257">
        <v>4</v>
      </c>
      <c r="AA24" s="257" t="s">
        <v>74</v>
      </c>
      <c r="AB24" s="262" t="s">
        <v>74</v>
      </c>
      <c r="AC24" s="257" t="s">
        <v>74</v>
      </c>
      <c r="AD24" s="257" t="s">
        <v>74</v>
      </c>
      <c r="AE24" s="282" t="s">
        <v>74</v>
      </c>
      <c r="AF24" s="258">
        <v>4</v>
      </c>
    </row>
    <row r="25" spans="2:32" s="195" customFormat="1" ht="14" x14ac:dyDescent="0.2">
      <c r="B25" s="256" t="s">
        <v>98</v>
      </c>
      <c r="C25" s="223">
        <v>131</v>
      </c>
      <c r="D25" s="133" t="str">
        <f>IF(ISBLANK(C25),"",VLOOKUP(C25,第1月ＴＡ,2,FALSE))</f>
        <v>ふるたか</v>
      </c>
      <c r="E25" s="257">
        <v>1</v>
      </c>
      <c r="F25" s="257">
        <v>3.1</v>
      </c>
      <c r="G25" s="257">
        <v>3.1</v>
      </c>
      <c r="H25" s="257">
        <v>2.7</v>
      </c>
      <c r="I25" s="257">
        <v>1.3</v>
      </c>
      <c r="J25" s="257" t="s">
        <v>74</v>
      </c>
      <c r="K25" s="523">
        <v>11.2</v>
      </c>
      <c r="L25" s="517" t="s">
        <v>262</v>
      </c>
      <c r="M25" s="259"/>
      <c r="N25" s="260"/>
      <c r="O25" s="254"/>
      <c r="P25" s="569" t="s">
        <v>98</v>
      </c>
      <c r="Q25" s="132">
        <v>4020</v>
      </c>
      <c r="R25" s="224" t="s">
        <v>241</v>
      </c>
      <c r="S25" s="512"/>
      <c r="T25" s="512">
        <v>12</v>
      </c>
      <c r="U25" s="255">
        <v>12</v>
      </c>
      <c r="W25" s="256" t="s">
        <v>98</v>
      </c>
      <c r="X25" s="223"/>
      <c r="Y25" s="224"/>
      <c r="Z25" s="257"/>
      <c r="AA25" s="257"/>
      <c r="AB25" s="262"/>
      <c r="AC25" s="257"/>
      <c r="AD25" s="257"/>
      <c r="AE25" s="257"/>
      <c r="AF25" s="258"/>
    </row>
    <row r="26" spans="2:32" s="195" customFormat="1" ht="14" x14ac:dyDescent="0.2">
      <c r="B26" s="266" t="s">
        <v>111</v>
      </c>
      <c r="C26" s="225">
        <v>5537</v>
      </c>
      <c r="D26" s="145" t="str">
        <f>IF(ISBLANK(C26),"",VLOOKUP(C26,第1月ＴＡ,2,FALSE))</f>
        <v>SUNNY QUEEN</v>
      </c>
      <c r="E26" s="268" t="s">
        <v>74</v>
      </c>
      <c r="F26" s="268" t="s">
        <v>74</v>
      </c>
      <c r="G26" s="268" t="s">
        <v>74</v>
      </c>
      <c r="H26" s="268" t="s">
        <v>74</v>
      </c>
      <c r="I26" s="268">
        <v>7.5</v>
      </c>
      <c r="J26" s="268" t="s">
        <v>74</v>
      </c>
      <c r="K26" s="524">
        <v>7.5</v>
      </c>
      <c r="L26" s="518"/>
      <c r="M26" s="271"/>
      <c r="N26" s="272"/>
      <c r="O26" s="254"/>
      <c r="P26" s="573" t="s">
        <v>99</v>
      </c>
      <c r="Q26" s="564">
        <v>6793</v>
      </c>
      <c r="R26" s="226" t="s">
        <v>236</v>
      </c>
      <c r="S26" s="513"/>
      <c r="T26" s="513">
        <v>11.3</v>
      </c>
      <c r="U26" s="273">
        <v>11.3</v>
      </c>
      <c r="W26" s="266" t="s">
        <v>99</v>
      </c>
      <c r="X26" s="225"/>
      <c r="Y26" s="226"/>
      <c r="Z26" s="268"/>
      <c r="AA26" s="269"/>
      <c r="AB26" s="275"/>
      <c r="AC26" s="268"/>
      <c r="AD26" s="268"/>
      <c r="AE26" s="268"/>
      <c r="AF26" s="270"/>
    </row>
    <row r="27" spans="2:32" s="195" customFormat="1" ht="14" x14ac:dyDescent="0.2">
      <c r="B27" s="248" t="s">
        <v>100</v>
      </c>
      <c r="C27" s="164"/>
      <c r="D27" s="229" t="str">
        <f t="shared" ref="D27:D28" si="1">IF(ISBLANK(C27),"",VLOOKUP(C27,各艇データ,2,FALSE))</f>
        <v/>
      </c>
      <c r="E27" s="249"/>
      <c r="F27" s="249"/>
      <c r="G27" s="249"/>
      <c r="H27" s="249"/>
      <c r="I27" s="249"/>
      <c r="J27" s="287"/>
      <c r="K27" s="525"/>
      <c r="L27" s="519"/>
      <c r="M27" s="284"/>
      <c r="N27" s="278"/>
      <c r="O27" s="261"/>
      <c r="P27" s="571" t="s">
        <v>100</v>
      </c>
      <c r="Q27" s="132">
        <v>6934</v>
      </c>
      <c r="R27" s="177" t="s">
        <v>214</v>
      </c>
      <c r="S27" s="511">
        <v>10</v>
      </c>
      <c r="T27" s="511" t="s">
        <v>74</v>
      </c>
      <c r="U27" s="279">
        <v>10</v>
      </c>
      <c r="W27" s="248" t="s">
        <v>100</v>
      </c>
      <c r="X27" s="223"/>
      <c r="Y27" s="229"/>
      <c r="Z27" s="285"/>
      <c r="AA27" s="249"/>
      <c r="AB27" s="289"/>
      <c r="AC27" s="249"/>
      <c r="AD27" s="249"/>
      <c r="AE27" s="249"/>
      <c r="AF27" s="277"/>
    </row>
    <row r="28" spans="2:32" s="195" customFormat="1" ht="14" x14ac:dyDescent="0.2">
      <c r="B28" s="256" t="s">
        <v>101</v>
      </c>
      <c r="C28" s="227"/>
      <c r="D28" s="224" t="str">
        <f t="shared" si="1"/>
        <v/>
      </c>
      <c r="E28" s="282"/>
      <c r="F28" s="257"/>
      <c r="G28" s="257"/>
      <c r="H28" s="257"/>
      <c r="I28" s="257"/>
      <c r="J28" s="257"/>
      <c r="K28" s="523"/>
      <c r="L28" s="517"/>
      <c r="M28" s="281"/>
      <c r="N28" s="260"/>
      <c r="O28" s="254"/>
      <c r="P28" s="569" t="s">
        <v>101</v>
      </c>
      <c r="Q28" s="164">
        <v>3387</v>
      </c>
      <c r="R28" s="224" t="s">
        <v>136</v>
      </c>
      <c r="S28" s="512">
        <v>9.3000000000000007</v>
      </c>
      <c r="T28" s="512" t="s">
        <v>74</v>
      </c>
      <c r="U28" s="255">
        <v>9.3000000000000007</v>
      </c>
      <c r="W28" s="256" t="s">
        <v>101</v>
      </c>
      <c r="X28" s="227"/>
      <c r="Y28" s="224"/>
      <c r="Z28" s="257"/>
      <c r="AA28" s="263"/>
      <c r="AB28" s="262"/>
      <c r="AC28" s="257"/>
      <c r="AD28" s="257"/>
      <c r="AE28" s="257"/>
      <c r="AF28" s="258"/>
    </row>
    <row r="29" spans="2:32" s="195" customFormat="1" ht="14" x14ac:dyDescent="0.2">
      <c r="B29" s="256" t="s">
        <v>102</v>
      </c>
      <c r="C29" s="223"/>
      <c r="D29" s="224" t="str">
        <f t="shared" ref="D29:D36" si="2">IF(ISBLANK(C29),"",VLOOKUP(C29,各艇データ,2,FALSE))</f>
        <v/>
      </c>
      <c r="E29" s="257"/>
      <c r="F29" s="257"/>
      <c r="G29" s="257"/>
      <c r="H29" s="257"/>
      <c r="I29" s="257"/>
      <c r="J29" s="257"/>
      <c r="K29" s="523"/>
      <c r="L29" s="517"/>
      <c r="M29" s="281"/>
      <c r="N29" s="260"/>
      <c r="O29" s="254"/>
      <c r="P29" s="569" t="s">
        <v>102</v>
      </c>
      <c r="Q29" s="223"/>
      <c r="R29" s="224"/>
      <c r="S29" s="512"/>
      <c r="T29" s="512" t="str">
        <f t="shared" ref="T29:T36" si="3">IFERROR(VLOOKUP($Q29,C$7:K$26,9,FALSE),"")</f>
        <v/>
      </c>
      <c r="U29" s="255"/>
      <c r="W29" s="256" t="s">
        <v>102</v>
      </c>
      <c r="X29" s="223"/>
      <c r="Y29" s="224"/>
      <c r="Z29" s="282"/>
      <c r="AA29" s="257"/>
      <c r="AB29" s="262"/>
      <c r="AC29" s="257"/>
      <c r="AD29" s="257"/>
      <c r="AE29" s="257"/>
      <c r="AF29" s="258"/>
    </row>
    <row r="30" spans="2:32" s="195" customFormat="1" ht="14" x14ac:dyDescent="0.2">
      <c r="B30" s="256" t="s">
        <v>103</v>
      </c>
      <c r="C30" s="223"/>
      <c r="D30" s="224" t="str">
        <f t="shared" si="2"/>
        <v/>
      </c>
      <c r="E30" s="257"/>
      <c r="F30" s="257"/>
      <c r="G30" s="257"/>
      <c r="H30" s="257"/>
      <c r="I30" s="257"/>
      <c r="J30" s="257"/>
      <c r="K30" s="523"/>
      <c r="L30" s="517"/>
      <c r="M30" s="281"/>
      <c r="N30" s="260"/>
      <c r="O30" s="254"/>
      <c r="P30" s="569" t="s">
        <v>103</v>
      </c>
      <c r="Q30" s="223"/>
      <c r="R30" s="224"/>
      <c r="S30" s="512"/>
      <c r="T30" s="512" t="str">
        <f t="shared" si="3"/>
        <v/>
      </c>
      <c r="U30" s="255"/>
      <c r="W30" s="256" t="s">
        <v>103</v>
      </c>
      <c r="X30" s="223"/>
      <c r="Y30" s="224"/>
      <c r="Z30" s="257"/>
      <c r="AA30" s="263"/>
      <c r="AB30" s="262"/>
      <c r="AC30" s="257"/>
      <c r="AD30" s="257"/>
      <c r="AE30" s="257"/>
      <c r="AF30" s="258"/>
    </row>
    <row r="31" spans="2:32" s="195" customFormat="1" ht="14" x14ac:dyDescent="0.2">
      <c r="B31" s="266" t="s">
        <v>104</v>
      </c>
      <c r="C31" s="225"/>
      <c r="D31" s="226" t="str">
        <f t="shared" si="2"/>
        <v/>
      </c>
      <c r="E31" s="268"/>
      <c r="F31" s="268"/>
      <c r="G31" s="268"/>
      <c r="H31" s="268"/>
      <c r="I31" s="268"/>
      <c r="J31" s="268"/>
      <c r="K31" s="524"/>
      <c r="L31" s="518"/>
      <c r="M31" s="283"/>
      <c r="N31" s="272"/>
      <c r="O31" s="254"/>
      <c r="P31" s="573" t="s">
        <v>104</v>
      </c>
      <c r="Q31" s="225"/>
      <c r="R31" s="226"/>
      <c r="S31" s="513"/>
      <c r="T31" s="513" t="str">
        <f t="shared" si="3"/>
        <v/>
      </c>
      <c r="U31" s="273"/>
      <c r="W31" s="266" t="s">
        <v>104</v>
      </c>
      <c r="X31" s="225"/>
      <c r="Y31" s="226"/>
      <c r="Z31" s="268"/>
      <c r="AA31" s="268"/>
      <c r="AB31" s="275"/>
      <c r="AC31" s="268"/>
      <c r="AD31" s="268"/>
      <c r="AE31" s="268"/>
      <c r="AF31" s="270"/>
    </row>
    <row r="32" spans="2:32" s="195" customFormat="1" ht="14" x14ac:dyDescent="0.2">
      <c r="B32" s="291" t="s">
        <v>100</v>
      </c>
      <c r="C32" s="286"/>
      <c r="D32" s="229" t="str">
        <f t="shared" si="2"/>
        <v/>
      </c>
      <c r="E32" s="292"/>
      <c r="F32" s="287"/>
      <c r="G32" s="287"/>
      <c r="H32" s="293"/>
      <c r="I32" s="287"/>
      <c r="J32" s="287"/>
      <c r="K32" s="525"/>
      <c r="L32" s="519"/>
      <c r="M32" s="284"/>
      <c r="N32" s="278"/>
      <c r="O32" s="261"/>
      <c r="P32" s="571" t="s">
        <v>120</v>
      </c>
      <c r="Q32" s="286"/>
      <c r="R32" s="229"/>
      <c r="S32" s="279"/>
      <c r="T32" s="511" t="str">
        <f t="shared" si="3"/>
        <v/>
      </c>
      <c r="U32" s="279"/>
      <c r="W32" s="291" t="s">
        <v>100</v>
      </c>
      <c r="X32" s="286"/>
      <c r="Y32" s="229"/>
      <c r="Z32" s="292"/>
      <c r="AA32" s="287"/>
      <c r="AB32" s="288"/>
      <c r="AC32" s="287"/>
      <c r="AD32" s="293"/>
      <c r="AE32" s="287"/>
      <c r="AF32" s="277"/>
    </row>
    <row r="33" spans="2:32" s="195" customFormat="1" ht="14" x14ac:dyDescent="0.2">
      <c r="B33" s="256" t="s">
        <v>101</v>
      </c>
      <c r="C33" s="227"/>
      <c r="D33" s="224" t="str">
        <f t="shared" si="2"/>
        <v/>
      </c>
      <c r="E33" s="282"/>
      <c r="F33" s="257"/>
      <c r="G33" s="257"/>
      <c r="H33" s="257"/>
      <c r="I33" s="282"/>
      <c r="J33" s="282"/>
      <c r="K33" s="523"/>
      <c r="L33" s="517"/>
      <c r="M33" s="281"/>
      <c r="N33" s="260"/>
      <c r="O33" s="254"/>
      <c r="P33" s="569" t="s">
        <v>121</v>
      </c>
      <c r="Q33" s="227"/>
      <c r="R33" s="224"/>
      <c r="S33" s="255"/>
      <c r="T33" s="512" t="str">
        <f t="shared" si="3"/>
        <v/>
      </c>
      <c r="U33" s="255"/>
      <c r="W33" s="256" t="s">
        <v>101</v>
      </c>
      <c r="X33" s="227"/>
      <c r="Y33" s="224"/>
      <c r="Z33" s="282"/>
      <c r="AA33" s="257"/>
      <c r="AB33" s="262"/>
      <c r="AC33" s="257"/>
      <c r="AD33" s="257"/>
      <c r="AE33" s="282"/>
      <c r="AF33" s="258"/>
    </row>
    <row r="34" spans="2:32" s="195" customFormat="1" ht="14" x14ac:dyDescent="0.2">
      <c r="B34" s="256" t="s">
        <v>102</v>
      </c>
      <c r="C34" s="228"/>
      <c r="D34" s="224" t="str">
        <f t="shared" si="2"/>
        <v/>
      </c>
      <c r="E34" s="257"/>
      <c r="F34" s="262"/>
      <c r="G34" s="282"/>
      <c r="H34" s="257"/>
      <c r="I34" s="257"/>
      <c r="J34" s="257"/>
      <c r="K34" s="523"/>
      <c r="L34" s="517"/>
      <c r="M34" s="281"/>
      <c r="N34" s="260"/>
      <c r="O34" s="254"/>
      <c r="P34" s="569" t="s">
        <v>122</v>
      </c>
      <c r="Q34" s="223"/>
      <c r="R34" s="294" t="str">
        <f>IF(ISBLANK(Q34),"",VLOOKUP(Q34,各艇データ,2,FALSE))</f>
        <v/>
      </c>
      <c r="S34" s="255"/>
      <c r="T34" s="512" t="str">
        <f t="shared" si="3"/>
        <v/>
      </c>
      <c r="U34" s="255"/>
      <c r="W34" s="256" t="s">
        <v>102</v>
      </c>
      <c r="X34" s="228"/>
      <c r="Y34" s="224"/>
      <c r="Z34" s="257"/>
      <c r="AA34" s="262"/>
      <c r="AB34" s="262"/>
      <c r="AC34" s="282"/>
      <c r="AD34" s="257"/>
      <c r="AE34" s="257"/>
      <c r="AF34" s="258"/>
    </row>
    <row r="35" spans="2:32" s="195" customFormat="1" ht="14" x14ac:dyDescent="0.2">
      <c r="B35" s="256" t="s">
        <v>103</v>
      </c>
      <c r="C35" s="223"/>
      <c r="D35" s="224" t="str">
        <f t="shared" si="2"/>
        <v/>
      </c>
      <c r="E35" s="257"/>
      <c r="F35" s="257"/>
      <c r="G35" s="257"/>
      <c r="H35" s="257"/>
      <c r="I35" s="282"/>
      <c r="J35" s="282"/>
      <c r="K35" s="523"/>
      <c r="L35" s="517"/>
      <c r="M35" s="281"/>
      <c r="N35" s="260"/>
      <c r="O35" s="254"/>
      <c r="P35" s="569" t="s">
        <v>123</v>
      </c>
      <c r="Q35" s="223"/>
      <c r="R35" s="294"/>
      <c r="S35" s="255"/>
      <c r="T35" s="512" t="str">
        <f t="shared" si="3"/>
        <v/>
      </c>
      <c r="U35" s="255"/>
      <c r="W35" s="256" t="s">
        <v>103</v>
      </c>
      <c r="X35" s="223"/>
      <c r="Y35" s="224"/>
      <c r="Z35" s="257"/>
      <c r="AA35" s="257"/>
      <c r="AB35" s="257"/>
      <c r="AC35" s="257"/>
      <c r="AD35" s="257"/>
      <c r="AE35" s="282"/>
      <c r="AF35" s="258"/>
    </row>
    <row r="36" spans="2:32" s="195" customFormat="1" ht="14.5" thickBot="1" x14ac:dyDescent="0.25">
      <c r="B36" s="295" t="s">
        <v>104</v>
      </c>
      <c r="C36" s="296"/>
      <c r="D36" s="297" t="str">
        <f t="shared" si="2"/>
        <v/>
      </c>
      <c r="E36" s="298"/>
      <c r="F36" s="298"/>
      <c r="G36" s="298"/>
      <c r="H36" s="298"/>
      <c r="I36" s="298"/>
      <c r="J36" s="298"/>
      <c r="K36" s="526"/>
      <c r="L36" s="520"/>
      <c r="M36" s="300"/>
      <c r="N36" s="290"/>
      <c r="O36" s="254"/>
      <c r="P36" s="573" t="s">
        <v>124</v>
      </c>
      <c r="Q36" s="225"/>
      <c r="R36" s="301"/>
      <c r="S36" s="273"/>
      <c r="T36" s="513" t="str">
        <f t="shared" si="3"/>
        <v/>
      </c>
      <c r="U36" s="273"/>
      <c r="W36" s="295" t="s">
        <v>104</v>
      </c>
      <c r="X36" s="296"/>
      <c r="Y36" s="297" t="str">
        <f>IF(ISBLANK(X36),"",VLOOKUP(X36,各艇データ,2,FALSE))</f>
        <v/>
      </c>
      <c r="Z36" s="298"/>
      <c r="AA36" s="298"/>
      <c r="AB36" s="298"/>
      <c r="AC36" s="298"/>
      <c r="AD36" s="298"/>
      <c r="AE36" s="298"/>
      <c r="AF36" s="299"/>
    </row>
    <row r="37" spans="2:32" s="195" customFormat="1" ht="15" thickTop="1" thickBot="1" x14ac:dyDescent="0.25">
      <c r="B37" s="657" t="s">
        <v>105</v>
      </c>
      <c r="C37" s="658"/>
      <c r="D37" s="659"/>
      <c r="E37" s="302">
        <f t="shared" ref="E37:I37" si="4">COUNT(E7:E36)</f>
        <v>11</v>
      </c>
      <c r="F37" s="302">
        <f>COUNT(F7:F36)</f>
        <v>14</v>
      </c>
      <c r="G37" s="302">
        <f>COUNT(G7:G36)</f>
        <v>14</v>
      </c>
      <c r="H37" s="302">
        <f t="shared" si="4"/>
        <v>16</v>
      </c>
      <c r="I37" s="302">
        <f t="shared" si="4"/>
        <v>17</v>
      </c>
      <c r="J37" s="302"/>
      <c r="K37" s="527"/>
      <c r="L37" s="521"/>
      <c r="M37" s="303"/>
      <c r="N37" s="304"/>
      <c r="O37" s="254"/>
      <c r="P37" s="571" t="s">
        <v>375</v>
      </c>
      <c r="Q37" s="227"/>
      <c r="R37" s="305"/>
      <c r="S37" s="279"/>
      <c r="T37" s="506"/>
      <c r="U37" s="279"/>
      <c r="W37" s="624" t="s">
        <v>187</v>
      </c>
      <c r="X37" s="625"/>
      <c r="Y37" s="626"/>
      <c r="Z37" s="302">
        <f>COUNT(Z7:Z36)</f>
        <v>16</v>
      </c>
      <c r="AA37" s="302">
        <f>COUNT(AA7:AA36)</f>
        <v>15</v>
      </c>
      <c r="AB37" s="302">
        <f>COUNT(AB7:AB36)</f>
        <v>0</v>
      </c>
      <c r="AC37" s="302">
        <f>COUNT(AC7:AC36)</f>
        <v>10</v>
      </c>
      <c r="AD37" s="302">
        <f>COUNT(AD7:AD36)</f>
        <v>0</v>
      </c>
      <c r="AE37" s="302"/>
      <c r="AF37" s="302"/>
    </row>
    <row r="38" spans="2:32" s="195" customFormat="1" ht="14" x14ac:dyDescent="0.2">
      <c r="B38" s="191" t="s">
        <v>112</v>
      </c>
      <c r="C38" s="191"/>
      <c r="O38" s="254"/>
      <c r="P38" s="569" t="s">
        <v>376</v>
      </c>
      <c r="Q38" s="223"/>
      <c r="R38" s="294"/>
      <c r="S38" s="255"/>
      <c r="T38" s="507"/>
      <c r="U38" s="255"/>
      <c r="W38" s="191" t="s">
        <v>112</v>
      </c>
      <c r="X38" s="191"/>
    </row>
    <row r="39" spans="2:32" s="195" customFormat="1" ht="14" x14ac:dyDescent="0.2">
      <c r="C39" s="191"/>
      <c r="K39" s="306"/>
      <c r="L39" s="306"/>
      <c r="M39" s="306"/>
      <c r="N39" s="306"/>
      <c r="O39" s="254"/>
      <c r="P39" s="569" t="s">
        <v>377</v>
      </c>
      <c r="Q39" s="223"/>
      <c r="R39" s="224" t="str">
        <f>IF(ISBLANK(Q39),"",VLOOKUP(Q39,各艇データ,2,FALSE))</f>
        <v/>
      </c>
      <c r="S39" s="255"/>
      <c r="T39" s="507"/>
      <c r="U39" s="255"/>
      <c r="X39" s="191"/>
      <c r="AF39" s="306"/>
    </row>
    <row r="40" spans="2:32" s="195" customFormat="1" ht="14" x14ac:dyDescent="0.2">
      <c r="C40" s="191"/>
      <c r="D40" s="195" t="s">
        <v>357</v>
      </c>
      <c r="E40" s="514"/>
      <c r="F40" s="514" t="s">
        <v>317</v>
      </c>
      <c r="G40" s="514" t="s">
        <v>340</v>
      </c>
      <c r="H40" s="514" t="s">
        <v>348</v>
      </c>
      <c r="I40" s="514"/>
      <c r="J40" s="514"/>
      <c r="N40" s="307"/>
      <c r="O40" s="308"/>
      <c r="P40" s="569" t="s">
        <v>378</v>
      </c>
      <c r="Q40" s="223"/>
      <c r="R40" s="224" t="str">
        <f>IF(ISBLANK(Q40),"",VLOOKUP(Q40,各艇データ,2,FALSE))</f>
        <v/>
      </c>
      <c r="S40" s="255"/>
      <c r="T40" s="507"/>
      <c r="U40" s="255"/>
      <c r="X40" s="191"/>
      <c r="AD40" s="195" t="s">
        <v>327</v>
      </c>
    </row>
    <row r="41" spans="2:32" s="195" customFormat="1" ht="14.5" thickBot="1" x14ac:dyDescent="0.25">
      <c r="C41" s="191"/>
      <c r="D41" s="195" t="s">
        <v>358</v>
      </c>
      <c r="E41" s="514" t="s">
        <v>303</v>
      </c>
      <c r="F41" s="514"/>
      <c r="G41" s="514"/>
      <c r="H41" s="514"/>
      <c r="I41" s="514"/>
      <c r="J41" s="514"/>
      <c r="P41" s="570" t="s">
        <v>124</v>
      </c>
      <c r="Q41" s="225"/>
      <c r="R41" s="301" t="s">
        <v>74</v>
      </c>
      <c r="S41" s="273"/>
      <c r="T41" s="508"/>
      <c r="U41" s="273"/>
      <c r="X41" s="191"/>
    </row>
    <row r="42" spans="2:32" s="195" customFormat="1" ht="14.5" thickTop="1" x14ac:dyDescent="0.2">
      <c r="C42" s="191"/>
      <c r="D42" s="309"/>
      <c r="E42" s="310"/>
      <c r="F42" s="310"/>
      <c r="G42" s="310"/>
      <c r="H42" s="311"/>
      <c r="I42" s="660" t="s">
        <v>284</v>
      </c>
      <c r="J42" s="660"/>
      <c r="K42" s="660"/>
      <c r="L42" s="660"/>
      <c r="M42" s="660"/>
      <c r="P42" s="567"/>
      <c r="X42" s="191"/>
      <c r="Y42" s="309"/>
      <c r="Z42" s="310"/>
      <c r="AA42" s="310"/>
      <c r="AB42" s="310"/>
      <c r="AC42" s="310"/>
      <c r="AD42" s="311"/>
    </row>
    <row r="43" spans="2:32" s="195" customFormat="1" ht="14" x14ac:dyDescent="0.2">
      <c r="C43" s="191"/>
      <c r="D43" s="312" t="s">
        <v>106</v>
      </c>
      <c r="E43" s="313"/>
      <c r="H43" s="314"/>
      <c r="I43" s="660"/>
      <c r="J43" s="660"/>
      <c r="K43" s="660"/>
      <c r="L43" s="660"/>
      <c r="M43" s="660"/>
      <c r="P43" s="567"/>
      <c r="T43" s="195" t="s">
        <v>327</v>
      </c>
      <c r="X43" s="191"/>
      <c r="Y43" s="312" t="s">
        <v>106</v>
      </c>
      <c r="Z43" s="313"/>
      <c r="AD43" s="314"/>
    </row>
    <row r="44" spans="2:32" s="195" customFormat="1" ht="14" x14ac:dyDescent="0.2">
      <c r="C44" s="191"/>
      <c r="D44" s="627" t="s">
        <v>177</v>
      </c>
      <c r="E44" s="628"/>
      <c r="H44" s="314"/>
      <c r="P44" s="567"/>
      <c r="X44" s="191"/>
      <c r="Y44" s="627" t="s">
        <v>177</v>
      </c>
      <c r="Z44" s="628"/>
      <c r="AD44" s="314"/>
    </row>
    <row r="45" spans="2:32" s="195" customFormat="1" ht="14" x14ac:dyDescent="0.2">
      <c r="C45" s="191"/>
      <c r="D45" s="627" t="s">
        <v>178</v>
      </c>
      <c r="E45" s="628"/>
      <c r="H45" s="314"/>
      <c r="P45" s="567"/>
      <c r="X45" s="191"/>
      <c r="Y45" s="627" t="s">
        <v>178</v>
      </c>
      <c r="Z45" s="628"/>
      <c r="AD45" s="314"/>
    </row>
    <row r="46" spans="2:32" s="195" customFormat="1" ht="14" x14ac:dyDescent="0.2">
      <c r="C46" s="191"/>
      <c r="D46" s="312" t="s">
        <v>113</v>
      </c>
      <c r="E46" s="315" t="s">
        <v>179</v>
      </c>
      <c r="F46" s="316"/>
      <c r="G46" s="316"/>
      <c r="H46" s="314"/>
      <c r="P46" s="567"/>
      <c r="X46" s="191"/>
      <c r="Y46" s="312" t="s">
        <v>113</v>
      </c>
      <c r="Z46" s="315" t="s">
        <v>179</v>
      </c>
      <c r="AA46" s="316"/>
      <c r="AB46" s="316"/>
      <c r="AC46" s="316"/>
      <c r="AD46" s="314"/>
    </row>
    <row r="47" spans="2:32" s="195" customFormat="1" ht="14" x14ac:dyDescent="0.2">
      <c r="C47" s="191"/>
      <c r="D47" s="312" t="s">
        <v>114</v>
      </c>
      <c r="E47" s="315" t="s">
        <v>180</v>
      </c>
      <c r="F47" s="316"/>
      <c r="G47" s="316"/>
      <c r="H47" s="314"/>
      <c r="K47" s="317"/>
      <c r="P47" s="567"/>
      <c r="X47" s="191"/>
      <c r="Y47" s="312" t="s">
        <v>114</v>
      </c>
      <c r="Z47" s="315" t="s">
        <v>180</v>
      </c>
      <c r="AA47" s="316"/>
      <c r="AB47" s="316"/>
      <c r="AC47" s="316"/>
      <c r="AD47" s="314"/>
      <c r="AF47" s="317"/>
    </row>
    <row r="48" spans="2:32" s="195" customFormat="1" ht="14.5" thickBot="1" x14ac:dyDescent="0.25">
      <c r="C48" s="191"/>
      <c r="D48" s="318"/>
      <c r="E48" s="319"/>
      <c r="F48" s="319"/>
      <c r="G48" s="319"/>
      <c r="H48" s="320"/>
      <c r="P48" s="567"/>
      <c r="X48" s="191"/>
      <c r="Y48" s="318"/>
      <c r="Z48" s="319"/>
      <c r="AA48" s="319"/>
      <c r="AB48" s="319"/>
      <c r="AC48" s="319"/>
      <c r="AD48" s="320"/>
    </row>
    <row r="49" spans="3:24" s="195" customFormat="1" ht="14.5" thickTop="1" x14ac:dyDescent="0.2">
      <c r="C49" s="191"/>
      <c r="P49" s="567"/>
      <c r="X49" s="191"/>
    </row>
  </sheetData>
  <sheetProtection algorithmName="SHA-512" hashValue="uwbupNxKYf+gaw7z4P4zSCDsd3bEqzprO7t763xTnC5//peT1fPnINA6k8jtZEwdwqrcxSeCznTuzhlCm2ATwA==" saltValue="yCJ4QqCGnaUKhTJDngN1ZA==" spinCount="100000" sheet="1" objects="1" scenarios="1"/>
  <sortState xmlns:xlrd2="http://schemas.microsoft.com/office/spreadsheetml/2017/richdata2" ref="P7:U28">
    <sortCondition descending="1" ref="U7:U28"/>
  </sortState>
  <mergeCells count="24">
    <mergeCell ref="D45:E45"/>
    <mergeCell ref="I3:M3"/>
    <mergeCell ref="B37:D37"/>
    <mergeCell ref="P2:U2"/>
    <mergeCell ref="B2:M2"/>
    <mergeCell ref="D44:E44"/>
    <mergeCell ref="I42:M43"/>
    <mergeCell ref="B1:M1"/>
    <mergeCell ref="B4:B6"/>
    <mergeCell ref="C4:C6"/>
    <mergeCell ref="D4:D6"/>
    <mergeCell ref="K4:K6"/>
    <mergeCell ref="L4:L6"/>
    <mergeCell ref="M4:M6"/>
    <mergeCell ref="W37:Y37"/>
    <mergeCell ref="Y44:Z44"/>
    <mergeCell ref="Y45:Z45"/>
    <mergeCell ref="W1:AF1"/>
    <mergeCell ref="W2:AF2"/>
    <mergeCell ref="AE3:AF3"/>
    <mergeCell ref="W4:W6"/>
    <mergeCell ref="X4:X6"/>
    <mergeCell ref="Y4:Y6"/>
    <mergeCell ref="AF4:AF6"/>
  </mergeCells>
  <phoneticPr fontId="5"/>
  <dataValidations disablePrompts="1" count="3">
    <dataValidation type="list" allowBlank="1" showInputMessage="1" showErrorMessage="1" sqref="I6:J6 N6 E6:G6 Z6:AE6" xr:uid="{00000000-0002-0000-0600-000000000000}">
      <formula1>コース</formula1>
    </dataValidation>
    <dataValidation type="list" allowBlank="1" showInputMessage="1" showErrorMessage="1" sqref="N4 E4:J4 Z4:AE4" xr:uid="{00000000-0002-0000-0600-000001000000}">
      <formula1>レース番号</formula1>
    </dataValidation>
    <dataValidation type="list" allowBlank="1" showInputMessage="1" showErrorMessage="1" sqref="E5:J5 N5 Z5:AE5" xr:uid="{00000000-0002-0000-0600-000002000000}">
      <formula1>開催日</formula1>
    </dataValidation>
  </dataValidations>
  <pageMargins left="0.51181102362204722" right="0.31496062992125984" top="0.74803149606299213" bottom="0.74803149606299213" header="0.31496062992125984" footer="0.31496062992125984"/>
  <pageSetup paperSize="9" scale="37" orientation="portrait" horizontalDpi="300" verticalDpi="300" r:id="rId1"/>
  <colBreaks count="2" manualBreakCount="2">
    <brk id="14" max="47" man="1"/>
    <brk id="22" max="47" man="1"/>
  </colBreaks>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600-000003000000}">
          <x14:formula1>
            <xm:f>参照ﾃﾞｰﾀ!$B$4:$B$17</xm:f>
          </x14:formula1>
          <xm:sqref>H6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T34"/>
  <sheetViews>
    <sheetView topLeftCell="A3" workbookViewId="0">
      <selection activeCell="M25" sqref="M25"/>
    </sheetView>
  </sheetViews>
  <sheetFormatPr defaultRowHeight="13" x14ac:dyDescent="0.2"/>
  <cols>
    <col min="1" max="1" width="2.453125" customWidth="1"/>
    <col min="2" max="13" width="8.36328125" customWidth="1"/>
    <col min="14" max="14" width="9.26953125" customWidth="1"/>
    <col min="15" max="15" width="7.6328125" customWidth="1"/>
    <col min="16" max="16" width="15.08984375" customWidth="1"/>
    <col min="17" max="17" width="13.90625" customWidth="1"/>
    <col min="18" max="18" width="13.7265625" bestFit="1" customWidth="1"/>
    <col min="19" max="19" width="12.453125" customWidth="1"/>
  </cols>
  <sheetData>
    <row r="1" spans="2:20" s="2" customFormat="1" ht="14.25" customHeight="1" x14ac:dyDescent="0.25">
      <c r="B1" s="667"/>
      <c r="C1" s="667"/>
      <c r="D1" s="667"/>
      <c r="E1" s="667"/>
      <c r="F1" s="667"/>
      <c r="G1" s="667"/>
      <c r="H1" s="667"/>
      <c r="I1" s="667"/>
      <c r="J1" s="667"/>
      <c r="K1" s="667"/>
      <c r="L1" s="667"/>
      <c r="O1" s="664" t="s">
        <v>281</v>
      </c>
      <c r="P1" s="664"/>
      <c r="Q1" s="664"/>
      <c r="R1" s="664"/>
      <c r="S1" s="664"/>
      <c r="T1" s="68"/>
    </row>
    <row r="2" spans="2:20" s="31" customFormat="1" ht="20.25" customHeight="1" x14ac:dyDescent="0.3">
      <c r="B2" s="668" t="s">
        <v>115</v>
      </c>
      <c r="C2" s="668"/>
      <c r="D2" s="668"/>
      <c r="E2" s="668"/>
      <c r="F2" s="668"/>
      <c r="G2" s="668"/>
      <c r="H2" s="668"/>
      <c r="I2" s="668"/>
      <c r="J2" s="668"/>
      <c r="K2" s="668"/>
      <c r="L2" s="668"/>
      <c r="M2" s="668"/>
      <c r="O2" s="67"/>
      <c r="P2" s="67"/>
      <c r="Q2" s="67"/>
      <c r="R2" s="69"/>
      <c r="S2" s="67"/>
      <c r="T2" s="68"/>
    </row>
    <row r="3" spans="2:20" s="2" customFormat="1" ht="21" customHeight="1" x14ac:dyDescent="0.2">
      <c r="B3" s="669"/>
      <c r="C3" s="669"/>
      <c r="D3" s="669"/>
      <c r="E3" s="669"/>
      <c r="F3" s="669"/>
      <c r="G3" s="669"/>
      <c r="H3" s="669"/>
      <c r="I3" s="669"/>
      <c r="J3" s="669"/>
      <c r="K3" s="669"/>
      <c r="L3" s="670" t="s">
        <v>285</v>
      </c>
      <c r="M3" s="671"/>
      <c r="O3" s="70"/>
      <c r="P3" s="70"/>
      <c r="Q3" s="70"/>
      <c r="R3" s="70"/>
      <c r="S3" s="68" t="s">
        <v>143</v>
      </c>
    </row>
    <row r="4" spans="2:20" s="2" customFormat="1" ht="20.25" customHeight="1" x14ac:dyDescent="0.2">
      <c r="B4" s="34" t="str">
        <f>参照ﾃﾞｰﾀ!Y4</f>
        <v>＃603</v>
      </c>
      <c r="C4" s="35" t="s">
        <v>253</v>
      </c>
      <c r="D4" s="34" t="str">
        <f>参照ﾃﾞｰﾀ!Y5</f>
        <v>＃604</v>
      </c>
      <c r="E4" s="35" t="s">
        <v>62</v>
      </c>
      <c r="F4" s="34" t="str">
        <f>参照ﾃﾞｰﾀ!Y6</f>
        <v>＃605</v>
      </c>
      <c r="G4" s="35" t="s">
        <v>194</v>
      </c>
      <c r="H4" s="34" t="str">
        <f>参照ﾃﾞｰﾀ!Y7</f>
        <v>＃606</v>
      </c>
      <c r="I4" s="35" t="s">
        <v>62</v>
      </c>
      <c r="J4" s="34" t="str">
        <f>参照ﾃﾞｰﾀ!Y8</f>
        <v>＃607</v>
      </c>
      <c r="K4" s="35" t="s">
        <v>35</v>
      </c>
      <c r="L4" s="34" t="str">
        <f>参照ﾃﾞｰﾀ!Y9</f>
        <v>＃608</v>
      </c>
      <c r="M4" s="36" t="s">
        <v>254</v>
      </c>
      <c r="O4" s="71"/>
      <c r="P4" s="71"/>
      <c r="Q4" s="71"/>
      <c r="R4" s="71"/>
      <c r="S4" s="71"/>
      <c r="T4" s="72"/>
    </row>
    <row r="5" spans="2:20" s="32" customFormat="1" ht="46.5" customHeight="1" x14ac:dyDescent="0.2">
      <c r="B5" s="662">
        <f>参照ﾃﾞｰﾀ!$J4</f>
        <v>45676</v>
      </c>
      <c r="C5" s="663"/>
      <c r="D5" s="662">
        <f>参照ﾃﾞｰﾀ!$J5</f>
        <v>45704</v>
      </c>
      <c r="E5" s="663"/>
      <c r="F5" s="662">
        <f>参照ﾃﾞｰﾀ!$J6</f>
        <v>45732</v>
      </c>
      <c r="G5" s="663"/>
      <c r="H5" s="662">
        <f>参照ﾃﾞｰﾀ!$J7</f>
        <v>45767</v>
      </c>
      <c r="I5" s="663"/>
      <c r="J5" s="662">
        <f>参照ﾃﾞｰﾀ!$J8</f>
        <v>45795</v>
      </c>
      <c r="K5" s="663"/>
      <c r="L5" s="662">
        <f>参照ﾃﾞｰﾀ!J9</f>
        <v>45823</v>
      </c>
      <c r="M5" s="663"/>
      <c r="O5" s="665" t="s">
        <v>144</v>
      </c>
      <c r="P5" s="666"/>
      <c r="Q5" s="73" t="s">
        <v>40</v>
      </c>
      <c r="R5" s="73" t="s">
        <v>145</v>
      </c>
      <c r="S5" s="73" t="s">
        <v>146</v>
      </c>
      <c r="T5" s="72"/>
    </row>
    <row r="6" spans="2:20" s="2" customFormat="1" ht="21" customHeight="1" x14ac:dyDescent="0.2">
      <c r="B6" s="37" t="s">
        <v>116</v>
      </c>
      <c r="C6" s="38" t="s">
        <v>76</v>
      </c>
      <c r="D6" s="37" t="s">
        <v>116</v>
      </c>
      <c r="E6" s="38" t="s">
        <v>76</v>
      </c>
      <c r="F6" s="37" t="s">
        <v>116</v>
      </c>
      <c r="G6" s="38" t="s">
        <v>76</v>
      </c>
      <c r="H6" s="37" t="s">
        <v>116</v>
      </c>
      <c r="I6" s="38" t="s">
        <v>76</v>
      </c>
      <c r="J6" s="37" t="s">
        <v>116</v>
      </c>
      <c r="K6" s="38" t="s">
        <v>76</v>
      </c>
      <c r="L6" s="37" t="s">
        <v>116</v>
      </c>
      <c r="M6" s="38" t="s">
        <v>76</v>
      </c>
      <c r="O6" s="74" t="s">
        <v>147</v>
      </c>
      <c r="P6" s="93">
        <f>参照ﾃﾞｰﾀ!Z4</f>
        <v>45676</v>
      </c>
      <c r="Q6" s="93" t="str">
        <f>参照ﾃﾞｰﾀ!AA4</f>
        <v>G</v>
      </c>
      <c r="R6" s="93" t="str">
        <f>参照ﾃﾞｰﾀ!AB4</f>
        <v>テティス</v>
      </c>
      <c r="S6" s="75"/>
      <c r="T6" s="69"/>
    </row>
    <row r="7" spans="2:20" s="2" customFormat="1" ht="18" customHeight="1" x14ac:dyDescent="0.2">
      <c r="B7" s="39"/>
      <c r="C7" s="40"/>
      <c r="D7" s="39"/>
      <c r="E7" s="40"/>
      <c r="F7" s="39"/>
      <c r="G7" s="41"/>
      <c r="H7" s="42"/>
      <c r="I7" s="40"/>
      <c r="J7" s="42"/>
      <c r="K7" s="40"/>
      <c r="L7" s="39"/>
      <c r="M7" s="40"/>
      <c r="O7" s="74" t="s">
        <v>148</v>
      </c>
      <c r="P7" s="93">
        <f>参照ﾃﾞｰﾀ!Z5</f>
        <v>45704</v>
      </c>
      <c r="Q7" s="93" t="str">
        <f>参照ﾃﾞｰﾀ!AA5</f>
        <v>E</v>
      </c>
      <c r="R7" s="321" t="str">
        <f>参照ﾃﾞｰﾀ!AB5</f>
        <v>SHARK X</v>
      </c>
      <c r="S7" s="75"/>
      <c r="T7" s="69"/>
    </row>
    <row r="8" spans="2:20" s="2" customFormat="1" ht="18" customHeight="1" x14ac:dyDescent="0.2">
      <c r="B8" s="43"/>
      <c r="C8" s="44"/>
      <c r="D8" s="43"/>
      <c r="E8" s="40"/>
      <c r="F8" s="43"/>
      <c r="G8" s="44"/>
      <c r="H8" s="45"/>
      <c r="I8" s="40"/>
      <c r="J8" s="45"/>
      <c r="K8" s="44"/>
      <c r="L8" s="43"/>
      <c r="M8" s="44"/>
      <c r="O8" s="74" t="s">
        <v>149</v>
      </c>
      <c r="P8" s="93">
        <f>参照ﾃﾞｰﾀ!Z6</f>
        <v>45732</v>
      </c>
      <c r="Q8" s="93" t="str">
        <f>参照ﾃﾞｰﾀ!AA6</f>
        <v>H</v>
      </c>
      <c r="R8" s="321" t="str">
        <f>参照ﾃﾞｰﾀ!AB6</f>
        <v>サーモン４</v>
      </c>
      <c r="S8" s="75"/>
      <c r="T8" s="69"/>
    </row>
    <row r="9" spans="2:20" s="2" customFormat="1" ht="18" customHeight="1" x14ac:dyDescent="0.2">
      <c r="B9" s="46"/>
      <c r="C9" s="44"/>
      <c r="D9" s="46"/>
      <c r="E9" s="40"/>
      <c r="F9" s="43"/>
      <c r="G9" s="44"/>
      <c r="H9" s="46"/>
      <c r="I9" s="44"/>
      <c r="J9" s="47"/>
      <c r="K9" s="44"/>
      <c r="L9" s="46"/>
      <c r="M9" s="44"/>
      <c r="O9" s="74" t="s">
        <v>150</v>
      </c>
      <c r="P9" s="93">
        <f>参照ﾃﾞｰﾀ!Z7</f>
        <v>45767</v>
      </c>
      <c r="Q9" s="93" t="str">
        <f>参照ﾃﾞｰﾀ!AA7</f>
        <v>E</v>
      </c>
      <c r="R9" s="321" t="str">
        <f>参照ﾃﾞｰﾀ!AB7</f>
        <v>かまくら</v>
      </c>
      <c r="S9" s="75"/>
      <c r="T9" s="69"/>
    </row>
    <row r="10" spans="2:20" s="2" customFormat="1" ht="18" customHeight="1" x14ac:dyDescent="0.2">
      <c r="B10" s="46"/>
      <c r="C10" s="44"/>
      <c r="D10" s="46"/>
      <c r="E10" s="40"/>
      <c r="F10" s="43"/>
      <c r="G10" s="44"/>
      <c r="H10" s="47"/>
      <c r="I10" s="44"/>
      <c r="J10" s="47"/>
      <c r="K10" s="44"/>
      <c r="L10" s="46"/>
      <c r="M10" s="44"/>
      <c r="O10" s="74" t="s">
        <v>151</v>
      </c>
      <c r="P10" s="93">
        <f>参照ﾃﾞｰﾀ!Z8</f>
        <v>45795</v>
      </c>
      <c r="Q10" s="93" t="str">
        <f>参照ﾃﾞｰﾀ!AA8</f>
        <v>初島</v>
      </c>
      <c r="R10" s="321" t="str">
        <f>参照ﾃﾞｰﾀ!AB8</f>
        <v>波勝</v>
      </c>
      <c r="S10" s="75"/>
      <c r="T10" s="69"/>
    </row>
    <row r="11" spans="2:20" s="2" customFormat="1" ht="18" customHeight="1" x14ac:dyDescent="0.2">
      <c r="B11" s="46"/>
      <c r="C11" s="44"/>
      <c r="D11" s="46"/>
      <c r="E11" s="40"/>
      <c r="F11" s="43"/>
      <c r="G11" s="44"/>
      <c r="H11" s="47"/>
      <c r="I11" s="44"/>
      <c r="J11" s="47"/>
      <c r="K11" s="44"/>
      <c r="L11" s="46"/>
      <c r="M11" s="40"/>
      <c r="O11" s="74" t="s">
        <v>152</v>
      </c>
      <c r="P11" s="93">
        <f>参照ﾃﾞｰﾀ!Z9</f>
        <v>45823</v>
      </c>
      <c r="Q11" s="93" t="str">
        <f>参照ﾃﾞｰﾀ!AA9</f>
        <v>D</v>
      </c>
      <c r="R11" s="321" t="str">
        <f>参照ﾃﾞｰﾀ!AB9</f>
        <v>ケロニア</v>
      </c>
      <c r="S11" s="75"/>
      <c r="T11" s="69"/>
    </row>
    <row r="12" spans="2:20" s="2" customFormat="1" ht="18" customHeight="1" x14ac:dyDescent="0.2">
      <c r="B12" s="46"/>
      <c r="C12" s="44"/>
      <c r="D12" s="46"/>
      <c r="E12" s="40"/>
      <c r="F12" s="43"/>
      <c r="G12" s="40"/>
      <c r="H12" s="47"/>
      <c r="I12" s="44"/>
      <c r="J12" s="46"/>
      <c r="K12" s="44"/>
      <c r="L12" s="46"/>
      <c r="M12" s="44"/>
      <c r="O12" s="74" t="s">
        <v>153</v>
      </c>
      <c r="P12" s="93">
        <f>参照ﾃﾞｰﾀ!Z10</f>
        <v>45858</v>
      </c>
      <c r="Q12" s="93" t="str">
        <f>参照ﾃﾞｰﾀ!AA10</f>
        <v>合同</v>
      </c>
      <c r="R12" s="321" t="str">
        <f>参照ﾃﾞｰﾀ!AB10</f>
        <v>ふるたか</v>
      </c>
      <c r="S12" s="75"/>
      <c r="T12" s="69"/>
    </row>
    <row r="13" spans="2:20" s="2" customFormat="1" ht="18" customHeight="1" x14ac:dyDescent="0.2">
      <c r="B13" s="46"/>
      <c r="C13" s="44"/>
      <c r="D13" s="46"/>
      <c r="E13" s="44"/>
      <c r="F13" s="46"/>
      <c r="G13" s="44"/>
      <c r="H13" s="47"/>
      <c r="I13" s="44"/>
      <c r="J13" s="47"/>
      <c r="K13" s="44"/>
      <c r="L13" s="46"/>
      <c r="M13" s="44"/>
      <c r="O13" s="74" t="s">
        <v>154</v>
      </c>
      <c r="P13" s="93">
        <f>参照ﾃﾞｰﾀ!Z11</f>
        <v>45886</v>
      </c>
      <c r="Q13" s="93" t="str">
        <f>参照ﾃﾞｰﾀ!AA11</f>
        <v>E</v>
      </c>
      <c r="R13" s="321" t="str">
        <f>参照ﾃﾞｰﾀ!AB11</f>
        <v>はやとり</v>
      </c>
      <c r="S13" s="75"/>
      <c r="T13" s="69"/>
    </row>
    <row r="14" spans="2:20" s="2" customFormat="1" ht="18" customHeight="1" x14ac:dyDescent="0.2">
      <c r="B14" s="46"/>
      <c r="C14" s="44"/>
      <c r="D14" s="46"/>
      <c r="E14" s="44"/>
      <c r="F14" s="46"/>
      <c r="G14" s="44"/>
      <c r="H14" s="47"/>
      <c r="I14" s="44"/>
      <c r="J14" s="47"/>
      <c r="K14" s="44"/>
      <c r="L14" s="46"/>
      <c r="M14" s="44"/>
      <c r="O14" s="74" t="s">
        <v>155</v>
      </c>
      <c r="P14" s="93">
        <f>参照ﾃﾞｰﾀ!Z12</f>
        <v>45907</v>
      </c>
      <c r="Q14" s="93" t="str">
        <f>参照ﾃﾞｰﾀ!AA12</f>
        <v>KFRランデブー</v>
      </c>
      <c r="R14" s="321">
        <f>参照ﾃﾞｰﾀ!AB12</f>
        <v>0</v>
      </c>
      <c r="S14" s="75"/>
      <c r="T14" s="69"/>
    </row>
    <row r="15" spans="2:20" s="2" customFormat="1" ht="18" customHeight="1" x14ac:dyDescent="0.2">
      <c r="B15" s="46"/>
      <c r="C15" s="44"/>
      <c r="D15" s="46"/>
      <c r="E15" s="44"/>
      <c r="F15" s="46"/>
      <c r="G15" s="44"/>
      <c r="H15" s="48"/>
      <c r="I15" s="44"/>
      <c r="J15" s="48"/>
      <c r="K15" s="44"/>
      <c r="L15" s="46"/>
      <c r="M15" s="44"/>
      <c r="O15" s="74" t="s">
        <v>155</v>
      </c>
      <c r="P15" s="93">
        <f>参照ﾃﾞｰﾀ!Z13</f>
        <v>45921</v>
      </c>
      <c r="Q15" s="93" t="str">
        <f>参照ﾃﾞｰﾀ!AA13</f>
        <v>A</v>
      </c>
      <c r="R15" s="321" t="str">
        <f>参照ﾃﾞｰﾀ!AB13</f>
        <v>ネプチューンXII</v>
      </c>
      <c r="S15" s="321" t="str">
        <f>参照ﾃﾞｰﾀ!AC13</f>
        <v>未決定</v>
      </c>
      <c r="T15" s="69"/>
    </row>
    <row r="16" spans="2:20" s="2" customFormat="1" ht="18" customHeight="1" x14ac:dyDescent="0.2">
      <c r="B16" s="49"/>
      <c r="C16" s="50"/>
      <c r="D16" s="49"/>
      <c r="E16" s="50"/>
      <c r="F16" s="46"/>
      <c r="G16" s="44"/>
      <c r="H16" s="51"/>
      <c r="I16" s="50"/>
      <c r="J16" s="51"/>
      <c r="K16" s="50"/>
      <c r="L16" s="49"/>
      <c r="M16" s="50"/>
      <c r="O16" s="74" t="s">
        <v>156</v>
      </c>
      <c r="P16" s="93">
        <f>参照ﾃﾞｰﾀ!Z14</f>
        <v>45949</v>
      </c>
      <c r="Q16" s="93" t="str">
        <f>参照ﾃﾞｰﾀ!AA14</f>
        <v>H</v>
      </c>
      <c r="R16" s="321" t="str">
        <f>参照ﾃﾞｰﾀ!AB14</f>
        <v>Miss Emica</v>
      </c>
      <c r="S16" s="75"/>
      <c r="T16" s="69"/>
    </row>
    <row r="17" spans="2:20" s="2" customFormat="1" ht="18" customHeight="1" x14ac:dyDescent="0.2">
      <c r="B17" s="52"/>
      <c r="C17" s="53"/>
      <c r="D17" s="52"/>
      <c r="E17" s="53"/>
      <c r="F17" s="52"/>
      <c r="G17" s="53"/>
      <c r="H17" s="54"/>
      <c r="I17" s="53"/>
      <c r="J17" s="54"/>
      <c r="K17" s="53"/>
      <c r="L17" s="52"/>
      <c r="M17" s="53"/>
      <c r="O17" s="74" t="s">
        <v>157</v>
      </c>
      <c r="P17" s="93">
        <f>参照ﾃﾞｰﾀ!Z15</f>
        <v>45977</v>
      </c>
      <c r="Q17" s="93" t="str">
        <f>参照ﾃﾞｰﾀ!AA15</f>
        <v>J</v>
      </c>
      <c r="R17" s="321" t="str">
        <f>参照ﾃﾞｰﾀ!AB15</f>
        <v>アイデアル</v>
      </c>
      <c r="S17" s="75"/>
      <c r="T17" s="69"/>
    </row>
    <row r="18" spans="2:20" s="2" customFormat="1" ht="15" x14ac:dyDescent="0.2">
      <c r="B18" s="55"/>
      <c r="C18" s="33"/>
      <c r="D18" s="33"/>
      <c r="E18" s="33"/>
      <c r="F18" s="33"/>
      <c r="G18" s="33"/>
      <c r="H18" s="33"/>
      <c r="I18" s="33"/>
      <c r="J18" s="33"/>
      <c r="K18" s="33"/>
      <c r="L18" s="33"/>
      <c r="M18" s="33"/>
      <c r="O18" s="74" t="s">
        <v>158</v>
      </c>
      <c r="P18" s="93">
        <f>参照ﾃﾞｰﾀ!Z16</f>
        <v>46012</v>
      </c>
      <c r="Q18" s="93" t="str">
        <f>参照ﾃﾞｰﾀ!AA16</f>
        <v>E</v>
      </c>
      <c r="R18" s="321" t="str">
        <f>参照ﾃﾞｰﾀ!AB16</f>
        <v>飛車角</v>
      </c>
      <c r="S18" s="75"/>
      <c r="T18" s="69"/>
    </row>
    <row r="19" spans="2:20" s="2" customFormat="1" ht="21" customHeight="1" x14ac:dyDescent="0.2">
      <c r="B19" s="61" t="str">
        <f>参照ﾃﾞｰﾀ!Y10</f>
        <v>＃609</v>
      </c>
      <c r="C19" s="35" t="s">
        <v>194</v>
      </c>
      <c r="D19" s="61" t="str">
        <f>参照ﾃﾞｰﾀ!Y11</f>
        <v>＃610</v>
      </c>
      <c r="E19" s="35" t="s">
        <v>194</v>
      </c>
      <c r="F19" s="61" t="str">
        <f>参照ﾃﾞｰﾀ!Y13</f>
        <v>＃612</v>
      </c>
      <c r="G19" s="79" t="s">
        <v>224</v>
      </c>
      <c r="H19" s="61" t="str">
        <f>参照ﾃﾞｰﾀ!Y14</f>
        <v>＃613</v>
      </c>
      <c r="I19" s="35" t="s">
        <v>194</v>
      </c>
      <c r="J19" s="61" t="str">
        <f>参照ﾃﾞｰﾀ!Y15</f>
        <v>＃614</v>
      </c>
      <c r="K19" s="35" t="s">
        <v>210</v>
      </c>
      <c r="L19" s="61" t="str">
        <f>参照ﾃﾞｰﾀ!Y16</f>
        <v>＃615</v>
      </c>
      <c r="M19" s="36" t="s">
        <v>62</v>
      </c>
      <c r="O19" s="78" t="s">
        <v>216</v>
      </c>
      <c r="P19" s="76"/>
      <c r="Q19" s="69"/>
      <c r="R19" s="77"/>
      <c r="S19" s="69"/>
      <c r="T19" s="69"/>
    </row>
    <row r="20" spans="2:20" s="2" customFormat="1" ht="46.5" customHeight="1" x14ac:dyDescent="0.2">
      <c r="B20" s="662">
        <f>参照ﾃﾞｰﾀ!$J10</f>
        <v>45858</v>
      </c>
      <c r="C20" s="663"/>
      <c r="D20" s="662">
        <f>参照ﾃﾞｰﾀ!$J11</f>
        <v>45886</v>
      </c>
      <c r="E20" s="663"/>
      <c r="F20" s="662">
        <f>参照ﾃﾞｰﾀ!$J13</f>
        <v>45921</v>
      </c>
      <c r="G20" s="663"/>
      <c r="H20" s="662">
        <f>参照ﾃﾞｰﾀ!$J14</f>
        <v>45949</v>
      </c>
      <c r="I20" s="663"/>
      <c r="J20" s="662">
        <f>参照ﾃﾞｰﾀ!$J15</f>
        <v>45977</v>
      </c>
      <c r="K20" s="663"/>
      <c r="L20" s="662">
        <f>参照ﾃﾞｰﾀ!$J16</f>
        <v>46012</v>
      </c>
      <c r="M20" s="663"/>
      <c r="O20" s="339" t="s">
        <v>147</v>
      </c>
      <c r="P20" s="340">
        <f>参照ﾃﾞｰﾀ!Z17</f>
        <v>46040</v>
      </c>
      <c r="Q20" s="340" t="str">
        <f>参照ﾃﾞｰﾀ!AA17</f>
        <v>未定</v>
      </c>
      <c r="R20" s="341" t="str">
        <f>参照ﾃﾞｰﾀ!AB17</f>
        <v>テティス</v>
      </c>
      <c r="S20" s="75"/>
      <c r="T20" s="69"/>
    </row>
    <row r="21" spans="2:20" s="2" customFormat="1" ht="21" customHeight="1" x14ac:dyDescent="0.2">
      <c r="B21" s="37" t="s">
        <v>116</v>
      </c>
      <c r="C21" s="38" t="s">
        <v>76</v>
      </c>
      <c r="D21" s="37" t="s">
        <v>116</v>
      </c>
      <c r="E21" s="38" t="s">
        <v>76</v>
      </c>
      <c r="F21" s="37" t="s">
        <v>116</v>
      </c>
      <c r="G21" s="38" t="s">
        <v>76</v>
      </c>
      <c r="H21" s="37" t="s">
        <v>116</v>
      </c>
      <c r="I21" s="38" t="s">
        <v>76</v>
      </c>
      <c r="J21" s="37" t="s">
        <v>116</v>
      </c>
      <c r="K21" s="38" t="s">
        <v>76</v>
      </c>
      <c r="L21" s="37" t="s">
        <v>116</v>
      </c>
      <c r="M21" s="38" t="s">
        <v>76</v>
      </c>
      <c r="O21" s="76"/>
      <c r="P21" s="78"/>
      <c r="Q21" s="69"/>
      <c r="R21" s="69"/>
      <c r="S21" s="69"/>
      <c r="T21" s="69"/>
    </row>
    <row r="22" spans="2:20" s="2" customFormat="1" ht="18" customHeight="1" x14ac:dyDescent="0.2">
      <c r="B22" s="39" t="s">
        <v>304</v>
      </c>
      <c r="C22" s="40" t="s">
        <v>303</v>
      </c>
      <c r="D22" s="39" t="s">
        <v>318</v>
      </c>
      <c r="E22" s="40" t="s">
        <v>317</v>
      </c>
      <c r="F22" s="46" t="s">
        <v>341</v>
      </c>
      <c r="G22" s="44" t="s">
        <v>340</v>
      </c>
      <c r="H22" s="46" t="s">
        <v>349</v>
      </c>
      <c r="I22" s="44" t="s">
        <v>348</v>
      </c>
      <c r="J22" s="84" t="s">
        <v>362</v>
      </c>
      <c r="K22" s="44" t="s">
        <v>280</v>
      </c>
      <c r="L22" s="39"/>
      <c r="M22" s="40"/>
      <c r="O22" s="76"/>
      <c r="P22" s="72"/>
      <c r="Q22" s="69"/>
      <c r="R22" s="69"/>
      <c r="S22" s="69"/>
      <c r="T22" s="69"/>
    </row>
    <row r="23" spans="2:20" s="2" customFormat="1" ht="18" customHeight="1" x14ac:dyDescent="0.2">
      <c r="B23" s="43" t="s">
        <v>305</v>
      </c>
      <c r="C23" s="40" t="s">
        <v>23</v>
      </c>
      <c r="D23" s="43" t="s">
        <v>318</v>
      </c>
      <c r="E23" s="40" t="s">
        <v>317</v>
      </c>
      <c r="F23" s="43" t="s">
        <v>343</v>
      </c>
      <c r="G23" s="44" t="s">
        <v>339</v>
      </c>
      <c r="H23" s="43" t="s">
        <v>349</v>
      </c>
      <c r="I23" s="44" t="s">
        <v>347</v>
      </c>
      <c r="J23" s="84" t="s">
        <v>363</v>
      </c>
      <c r="K23" s="44" t="s">
        <v>280</v>
      </c>
      <c r="L23" s="43"/>
      <c r="M23" s="40"/>
      <c r="O23" s="76"/>
      <c r="P23" s="72"/>
      <c r="Q23" s="69"/>
      <c r="R23" s="69"/>
      <c r="S23" s="69"/>
      <c r="T23" s="69"/>
    </row>
    <row r="24" spans="2:20" s="2" customFormat="1" ht="18" customHeight="1" x14ac:dyDescent="0.2">
      <c r="B24" s="46" t="s">
        <v>306</v>
      </c>
      <c r="C24" s="44" t="s">
        <v>23</v>
      </c>
      <c r="D24" s="46" t="s">
        <v>319</v>
      </c>
      <c r="E24" s="40" t="s">
        <v>317</v>
      </c>
      <c r="F24" s="46" t="s">
        <v>342</v>
      </c>
      <c r="G24" s="44" t="s">
        <v>339</v>
      </c>
      <c r="H24" s="43" t="s">
        <v>350</v>
      </c>
      <c r="I24" s="44" t="s">
        <v>347</v>
      </c>
      <c r="J24" s="84" t="s">
        <v>364</v>
      </c>
      <c r="K24" s="44" t="s">
        <v>280</v>
      </c>
      <c r="L24" s="46"/>
      <c r="M24" s="40"/>
      <c r="O24" s="76"/>
      <c r="P24" s="72"/>
      <c r="Q24" s="69"/>
      <c r="R24" s="69"/>
      <c r="S24" s="69"/>
      <c r="T24" s="69"/>
    </row>
    <row r="25" spans="2:20" s="2" customFormat="1" ht="18" customHeight="1" x14ac:dyDescent="0.2">
      <c r="B25" s="46" t="s">
        <v>307</v>
      </c>
      <c r="C25" s="44" t="s">
        <v>23</v>
      </c>
      <c r="D25" s="46" t="s">
        <v>320</v>
      </c>
      <c r="E25" s="40" t="s">
        <v>317</v>
      </c>
      <c r="F25" s="46" t="s">
        <v>345</v>
      </c>
      <c r="G25" s="44" t="s">
        <v>339</v>
      </c>
      <c r="H25" s="46" t="s">
        <v>351</v>
      </c>
      <c r="I25" s="44" t="s">
        <v>347</v>
      </c>
      <c r="J25" s="84" t="s">
        <v>365</v>
      </c>
      <c r="K25" s="44" t="s">
        <v>280</v>
      </c>
      <c r="L25" s="46"/>
      <c r="M25" s="40"/>
      <c r="O25" s="76"/>
      <c r="P25" s="72"/>
      <c r="Q25" s="69"/>
      <c r="R25" s="69"/>
      <c r="S25" s="69"/>
      <c r="T25" s="69"/>
    </row>
    <row r="26" spans="2:20" s="2" customFormat="1" ht="18" customHeight="1" x14ac:dyDescent="0.2">
      <c r="B26" s="46"/>
      <c r="C26" s="44"/>
      <c r="D26" s="46" t="s">
        <v>321</v>
      </c>
      <c r="E26" s="40" t="s">
        <v>317</v>
      </c>
      <c r="F26" s="46" t="s">
        <v>341</v>
      </c>
      <c r="G26" s="44" t="s">
        <v>339</v>
      </c>
      <c r="H26" s="46" t="s">
        <v>352</v>
      </c>
      <c r="I26" s="44" t="s">
        <v>347</v>
      </c>
      <c r="J26" s="84" t="s">
        <v>366</v>
      </c>
      <c r="K26" s="44" t="s">
        <v>280</v>
      </c>
      <c r="L26" s="46"/>
      <c r="M26" s="40"/>
      <c r="O26" s="76"/>
      <c r="P26" s="72"/>
      <c r="Q26" s="69"/>
      <c r="R26" s="69"/>
      <c r="S26" s="69"/>
      <c r="T26" s="69"/>
    </row>
    <row r="27" spans="2:20" s="2" customFormat="1" ht="18" customHeight="1" x14ac:dyDescent="0.2">
      <c r="B27" s="46"/>
      <c r="C27" s="44"/>
      <c r="D27" s="46"/>
      <c r="E27" s="40"/>
      <c r="F27" s="46"/>
      <c r="G27" s="44"/>
      <c r="H27" s="46" t="s">
        <v>353</v>
      </c>
      <c r="I27" s="44" t="s">
        <v>347</v>
      </c>
      <c r="J27" s="85"/>
      <c r="K27" s="44"/>
      <c r="L27" s="46"/>
      <c r="M27" s="40"/>
      <c r="O27" s="76"/>
      <c r="P27" s="72"/>
      <c r="Q27" s="69"/>
      <c r="R27" s="69"/>
      <c r="S27" s="69"/>
      <c r="T27" s="69"/>
    </row>
    <row r="28" spans="2:20" s="2" customFormat="1" ht="18" customHeight="1" x14ac:dyDescent="0.2">
      <c r="B28" s="46"/>
      <c r="C28" s="44"/>
      <c r="D28" s="46"/>
      <c r="E28" s="40"/>
      <c r="F28" s="46"/>
      <c r="G28" s="44"/>
      <c r="H28" s="46"/>
      <c r="I28" s="44"/>
      <c r="J28" s="85"/>
      <c r="K28" s="44"/>
      <c r="L28" s="46"/>
      <c r="M28" s="44"/>
      <c r="O28" s="76"/>
      <c r="P28" s="72"/>
      <c r="Q28" s="69"/>
      <c r="R28" s="69"/>
      <c r="S28" s="69"/>
      <c r="T28" s="69"/>
    </row>
    <row r="29" spans="2:20" s="2" customFormat="1" ht="18" customHeight="1" x14ac:dyDescent="0.2">
      <c r="B29" s="46"/>
      <c r="C29" s="44"/>
      <c r="D29" s="46"/>
      <c r="E29" s="44"/>
      <c r="F29" s="46"/>
      <c r="G29" s="44"/>
      <c r="H29" s="46"/>
      <c r="I29" s="44"/>
      <c r="J29" s="85"/>
      <c r="K29" s="44"/>
      <c r="L29" s="46"/>
      <c r="M29" s="44"/>
      <c r="O29" s="76"/>
      <c r="P29" s="72"/>
      <c r="Q29" s="69"/>
      <c r="R29" s="69"/>
      <c r="S29" s="69"/>
      <c r="T29" s="69"/>
    </row>
    <row r="30" spans="2:20" s="2" customFormat="1" ht="18" customHeight="1" x14ac:dyDescent="0.2">
      <c r="B30" s="46"/>
      <c r="C30" s="44"/>
      <c r="D30" s="46"/>
      <c r="E30" s="44"/>
      <c r="F30" s="46"/>
      <c r="G30" s="44"/>
      <c r="H30" s="46"/>
      <c r="I30" s="44"/>
      <c r="J30" s="85"/>
      <c r="K30" s="44"/>
      <c r="L30" s="46"/>
      <c r="M30" s="44"/>
      <c r="O30" s="76"/>
      <c r="P30" s="72"/>
      <c r="Q30" s="69"/>
      <c r="R30" s="69"/>
      <c r="S30" s="69"/>
      <c r="T30" s="69"/>
    </row>
    <row r="31" spans="2:20" s="2" customFormat="1" ht="18" customHeight="1" x14ac:dyDescent="0.2">
      <c r="B31" s="52"/>
      <c r="C31" s="53"/>
      <c r="D31" s="52"/>
      <c r="E31" s="53"/>
      <c r="F31" s="52"/>
      <c r="G31" s="53"/>
      <c r="H31" s="52"/>
      <c r="I31" s="53"/>
      <c r="J31" s="86"/>
      <c r="K31" s="53"/>
      <c r="L31" s="52"/>
      <c r="M31" s="53"/>
      <c r="O31" s="76"/>
      <c r="P31" s="76"/>
      <c r="Q31" s="69"/>
      <c r="R31" s="69"/>
      <c r="S31" s="69"/>
      <c r="T31" s="69"/>
    </row>
    <row r="32" spans="2:20" s="2" customFormat="1" ht="15" x14ac:dyDescent="0.2">
      <c r="B32" s="55"/>
      <c r="C32" s="33"/>
      <c r="D32" s="33"/>
      <c r="E32" s="33"/>
      <c r="F32" s="33"/>
      <c r="G32" s="33"/>
      <c r="H32" s="33"/>
      <c r="I32" s="33"/>
      <c r="J32" s="33"/>
      <c r="K32" s="33"/>
      <c r="L32" s="33"/>
      <c r="M32" s="33"/>
      <c r="O32" s="72"/>
      <c r="P32" s="72"/>
      <c r="Q32" s="69"/>
      <c r="R32" s="69"/>
      <c r="S32" s="69"/>
      <c r="T32" s="69"/>
    </row>
    <row r="33" spans="2:20" s="2" customFormat="1" ht="18" customHeight="1" x14ac:dyDescent="0.2">
      <c r="B33" s="56"/>
      <c r="C33" s="57"/>
      <c r="D33" s="33"/>
      <c r="E33" s="33"/>
      <c r="F33" s="33"/>
      <c r="G33" s="33"/>
      <c r="H33" s="33"/>
      <c r="I33" s="33"/>
      <c r="J33" s="33"/>
      <c r="K33" s="33"/>
      <c r="L33" s="661" t="s">
        <v>117</v>
      </c>
      <c r="M33" s="661"/>
      <c r="O33" s="72"/>
      <c r="P33" s="72"/>
      <c r="Q33" s="69"/>
      <c r="R33" s="69"/>
      <c r="S33" s="69"/>
      <c r="T33" s="69"/>
    </row>
    <row r="34" spans="2:20" s="2" customFormat="1" ht="15" x14ac:dyDescent="0.2">
      <c r="B34" s="1"/>
      <c r="O34" s="72"/>
      <c r="P34" s="72"/>
      <c r="Q34" s="69"/>
      <c r="R34" s="69"/>
      <c r="S34" s="69"/>
      <c r="T34" s="69"/>
    </row>
  </sheetData>
  <sheetProtection algorithmName="SHA-512" hashValue="XabwSr9i87UNExSrTsoGUgrni8D5j1BDOW9HjaPm1UcOYNhMDPjqL1ucn2/fsbDsee/tJA1ZssuzZvPpthljlg==" saltValue="mwl02zq6hIo/tcBU3Z10PA==" spinCount="100000" sheet="1" objects="1" scenarios="1"/>
  <mergeCells count="19">
    <mergeCell ref="H5:I5"/>
    <mergeCell ref="J5:K5"/>
    <mergeCell ref="L5:M5"/>
    <mergeCell ref="O1:S1"/>
    <mergeCell ref="O5:P5"/>
    <mergeCell ref="B1:L1"/>
    <mergeCell ref="B2:M2"/>
    <mergeCell ref="B3:K3"/>
    <mergeCell ref="L3:M3"/>
    <mergeCell ref="B5:C5"/>
    <mergeCell ref="D5:E5"/>
    <mergeCell ref="F5:G5"/>
    <mergeCell ref="L33:M33"/>
    <mergeCell ref="B20:C20"/>
    <mergeCell ref="D20:E20"/>
    <mergeCell ref="F20:G20"/>
    <mergeCell ref="H20:I20"/>
    <mergeCell ref="J20:K20"/>
    <mergeCell ref="L20:M20"/>
  </mergeCells>
  <phoneticPr fontId="5"/>
  <dataValidations count="1">
    <dataValidation type="list" allowBlank="1" showInputMessage="1" showErrorMessage="1" sqref="C4 E4 G4 I4 K4 M4 C19 E19 G19 M19 K19" xr:uid="{00000000-0002-0000-0700-000000000000}">
      <formula1>コース</formula1>
    </dataValidation>
  </dataValidations>
  <pageMargins left="0.31496062992125984" right="0.31496062992125984" top="0.74803149606299213" bottom="0.74803149606299213" header="0.31496062992125984" footer="0.31496062992125984"/>
  <pageSetup paperSize="9" scale="99" fitToHeight="0" orientation="portrait" horizontalDpi="4294967293"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1000000}">
          <x14:formula1>
            <xm:f>参照ﾃﾞｰﾀ!$B$4:$B$17</xm:f>
          </x14:formula1>
          <xm:sqref>I19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AG45"/>
  <sheetViews>
    <sheetView zoomScaleNormal="100" workbookViewId="0">
      <selection activeCell="L20" sqref="L20"/>
    </sheetView>
  </sheetViews>
  <sheetFormatPr defaultRowHeight="13" x14ac:dyDescent="0.2"/>
  <cols>
    <col min="1" max="1" width="2.7265625" customWidth="1"/>
    <col min="4" max="4" width="9.08984375" bestFit="1" customWidth="1"/>
    <col min="5" max="5" width="3" customWidth="1"/>
    <col min="6" max="6" width="9" customWidth="1"/>
    <col min="7" max="7" width="3.08984375" customWidth="1"/>
    <col min="8" max="8" width="5.90625" customWidth="1"/>
    <col min="9" max="9" width="3.26953125" customWidth="1"/>
    <col min="10" max="10" width="11.36328125" bestFit="1" customWidth="1"/>
    <col min="11" max="11" width="10.453125" customWidth="1"/>
    <col min="12" max="12" width="3.08984375" customWidth="1"/>
    <col min="13" max="13" width="11.08984375" customWidth="1"/>
    <col min="14" max="14" width="3" customWidth="1"/>
    <col min="15" max="15" width="17.453125" customWidth="1"/>
    <col min="16" max="16" width="2.453125" customWidth="1"/>
    <col min="18" max="18" width="2.6328125" customWidth="1"/>
    <col min="19" max="19" width="6.90625" customWidth="1"/>
    <col min="20" max="20" width="2.6328125" customWidth="1"/>
    <col min="22" max="22" width="2.90625" customWidth="1"/>
    <col min="26" max="26" width="12.7265625" bestFit="1" customWidth="1"/>
  </cols>
  <sheetData>
    <row r="1" spans="2:33" ht="16.5" x14ac:dyDescent="0.2">
      <c r="B1" s="342" t="s">
        <v>61</v>
      </c>
      <c r="C1" s="343"/>
      <c r="D1" s="343"/>
      <c r="E1" s="343"/>
      <c r="F1" s="344" t="s">
        <v>46</v>
      </c>
      <c r="G1" s="344"/>
      <c r="H1" s="344" t="s">
        <v>48</v>
      </c>
      <c r="I1" s="344"/>
      <c r="J1" s="344" t="s">
        <v>70</v>
      </c>
      <c r="K1" s="344"/>
      <c r="L1" s="344"/>
      <c r="M1" s="344" t="s">
        <v>44</v>
      </c>
      <c r="N1" s="344"/>
      <c r="O1" s="345" t="s">
        <v>51</v>
      </c>
      <c r="P1" s="344"/>
      <c r="Q1" s="344" t="s">
        <v>45</v>
      </c>
      <c r="R1" s="344"/>
      <c r="S1" s="345" t="s">
        <v>53</v>
      </c>
      <c r="T1" s="344"/>
      <c r="U1" s="344" t="s">
        <v>60</v>
      </c>
      <c r="W1" s="344" t="s">
        <v>65</v>
      </c>
    </row>
    <row r="2" spans="2:33" ht="13.5" thickBot="1" x14ac:dyDescent="0.25">
      <c r="B2" t="s">
        <v>282</v>
      </c>
      <c r="F2" s="30"/>
      <c r="J2" s="25" t="s">
        <v>263</v>
      </c>
      <c r="K2" s="25"/>
      <c r="Y2" t="str">
        <f>J2</f>
        <v>2025年</v>
      </c>
    </row>
    <row r="3" spans="2:33" ht="15.5" x14ac:dyDescent="0.25">
      <c r="B3" s="3" t="s">
        <v>40</v>
      </c>
      <c r="C3" s="28" t="s">
        <v>71</v>
      </c>
      <c r="D3" s="23" t="s">
        <v>65</v>
      </c>
      <c r="E3" s="11"/>
      <c r="F3" s="17" t="s">
        <v>47</v>
      </c>
      <c r="G3" s="11"/>
      <c r="H3" s="10" t="s">
        <v>41</v>
      </c>
      <c r="J3" s="10" t="s">
        <v>70</v>
      </c>
      <c r="K3" s="23" t="s">
        <v>65</v>
      </c>
      <c r="M3" s="15" t="s">
        <v>49</v>
      </c>
      <c r="O3" s="10" t="s">
        <v>51</v>
      </c>
      <c r="Q3" s="6" t="s">
        <v>43</v>
      </c>
      <c r="S3" s="10" t="s">
        <v>54</v>
      </c>
      <c r="U3" s="18" t="s">
        <v>60</v>
      </c>
      <c r="W3" s="22" t="s">
        <v>13</v>
      </c>
      <c r="Y3" s="62" t="s">
        <v>125</v>
      </c>
      <c r="Z3" s="63" t="s">
        <v>126</v>
      </c>
      <c r="AA3" s="63" t="s">
        <v>73</v>
      </c>
      <c r="AB3" s="63" t="s">
        <v>118</v>
      </c>
      <c r="AC3" s="63" t="s">
        <v>119</v>
      </c>
      <c r="AD3" s="63" t="s">
        <v>127</v>
      </c>
      <c r="AE3" s="89" t="s">
        <v>128</v>
      </c>
      <c r="AF3" s="91" t="s">
        <v>200</v>
      </c>
      <c r="AG3" s="91" t="s">
        <v>201</v>
      </c>
    </row>
    <row r="4" spans="2:33" ht="16" thickBot="1" x14ac:dyDescent="0.3">
      <c r="B4" s="4" t="s">
        <v>36</v>
      </c>
      <c r="C4" s="499">
        <v>24.2</v>
      </c>
      <c r="D4" s="501" t="s">
        <v>66</v>
      </c>
      <c r="F4" s="27" t="s">
        <v>263</v>
      </c>
      <c r="H4" s="9" t="s">
        <v>147</v>
      </c>
      <c r="J4" s="365">
        <v>45676</v>
      </c>
      <c r="K4" s="366" t="s">
        <v>66</v>
      </c>
      <c r="M4" s="367" t="s">
        <v>250</v>
      </c>
      <c r="O4" s="7" t="s">
        <v>52</v>
      </c>
      <c r="Q4" s="29" t="s">
        <v>72</v>
      </c>
      <c r="S4" s="9" t="s">
        <v>55</v>
      </c>
      <c r="U4" s="19">
        <v>0.33333333333333331</v>
      </c>
      <c r="W4" s="20" t="s">
        <v>66</v>
      </c>
      <c r="Y4" s="64" t="str">
        <f>M4</f>
        <v>＃603</v>
      </c>
      <c r="Z4" s="59">
        <f>J4</f>
        <v>45676</v>
      </c>
      <c r="AA4" s="21" t="s">
        <v>215</v>
      </c>
      <c r="AB4" s="379" t="s">
        <v>133</v>
      </c>
      <c r="AC4" s="81"/>
      <c r="AD4" s="87"/>
      <c r="AE4" s="369">
        <v>0.39583333333333331</v>
      </c>
      <c r="AF4" s="370">
        <v>0.52083333333333337</v>
      </c>
      <c r="AG4" s="21" t="str">
        <f>K4</f>
        <v>MAX=20</v>
      </c>
    </row>
    <row r="5" spans="2:33" ht="16" thickBot="1" x14ac:dyDescent="0.25">
      <c r="B5" s="4" t="s">
        <v>39</v>
      </c>
      <c r="C5" s="499">
        <v>21.5</v>
      </c>
      <c r="D5" s="501" t="s">
        <v>67</v>
      </c>
      <c r="H5" s="9" t="s">
        <v>164</v>
      </c>
      <c r="J5" s="365">
        <v>45704</v>
      </c>
      <c r="K5" s="366" t="s">
        <v>66</v>
      </c>
      <c r="M5" s="367" t="s">
        <v>251</v>
      </c>
      <c r="O5" s="7" t="s">
        <v>207</v>
      </c>
      <c r="Q5" s="8"/>
      <c r="S5" s="9" t="s">
        <v>56</v>
      </c>
      <c r="U5" s="19">
        <v>0.35416666666666669</v>
      </c>
      <c r="W5" s="20" t="s">
        <v>67</v>
      </c>
      <c r="Y5" s="64" t="str">
        <f t="shared" ref="Y5:Y16" si="0">M5</f>
        <v>＃604</v>
      </c>
      <c r="Z5" s="59">
        <f t="shared" ref="Z5:Z16" si="1">J5</f>
        <v>45704</v>
      </c>
      <c r="AA5" t="s">
        <v>176</v>
      </c>
      <c r="AB5" s="379" t="s">
        <v>183</v>
      </c>
      <c r="AC5" s="81"/>
      <c r="AD5" s="87"/>
      <c r="AE5" s="369">
        <v>0.4375</v>
      </c>
      <c r="AF5" s="370">
        <v>0.625</v>
      </c>
      <c r="AG5" s="21" t="str">
        <f t="shared" ref="AG5:AG16" si="2">K5</f>
        <v>MAX=20</v>
      </c>
    </row>
    <row r="6" spans="2:33" ht="16" thickBot="1" x14ac:dyDescent="0.25">
      <c r="B6" s="4" t="s">
        <v>37</v>
      </c>
      <c r="C6" s="499">
        <v>11.3</v>
      </c>
      <c r="D6" s="501" t="s">
        <v>66</v>
      </c>
      <c r="H6" s="9" t="s">
        <v>165</v>
      </c>
      <c r="J6" s="365">
        <v>45732</v>
      </c>
      <c r="K6" s="366" t="s">
        <v>66</v>
      </c>
      <c r="M6" s="367" t="s">
        <v>264</v>
      </c>
      <c r="O6" s="8" t="s">
        <v>286</v>
      </c>
      <c r="S6" s="9" t="s">
        <v>57</v>
      </c>
      <c r="U6" s="19">
        <v>0.375</v>
      </c>
      <c r="W6" s="20" t="s">
        <v>69</v>
      </c>
      <c r="Y6" s="64" t="str">
        <f t="shared" si="0"/>
        <v>＃605</v>
      </c>
      <c r="Z6" s="59">
        <f t="shared" si="1"/>
        <v>45732</v>
      </c>
      <c r="AA6" s="21" t="s">
        <v>198</v>
      </c>
      <c r="AB6" s="372" t="s">
        <v>277</v>
      </c>
      <c r="AC6" s="81"/>
      <c r="AD6" s="87"/>
      <c r="AE6" s="369">
        <v>0.4375</v>
      </c>
      <c r="AF6" s="370">
        <v>0.625</v>
      </c>
      <c r="AG6" s="21" t="str">
        <f t="shared" si="2"/>
        <v>MAX=20</v>
      </c>
    </row>
    <row r="7" spans="2:33" ht="16" thickBot="1" x14ac:dyDescent="0.25">
      <c r="B7" s="4" t="s">
        <v>38</v>
      </c>
      <c r="C7" s="499">
        <v>15.4</v>
      </c>
      <c r="D7" s="501" t="s">
        <v>67</v>
      </c>
      <c r="H7" s="9" t="s">
        <v>166</v>
      </c>
      <c r="J7" s="365">
        <v>45767</v>
      </c>
      <c r="K7" s="366" t="s">
        <v>66</v>
      </c>
      <c r="M7" s="367" t="s">
        <v>265</v>
      </c>
      <c r="S7" s="16"/>
      <c r="U7" s="19">
        <v>0.39583333333333331</v>
      </c>
      <c r="W7" s="20" t="s">
        <v>220</v>
      </c>
      <c r="Y7" s="64" t="str">
        <f t="shared" si="0"/>
        <v>＃606</v>
      </c>
      <c r="Z7" s="59">
        <f t="shared" si="1"/>
        <v>45767</v>
      </c>
      <c r="AA7" s="21" t="s">
        <v>176</v>
      </c>
      <c r="AB7" s="379" t="s">
        <v>27</v>
      </c>
      <c r="AC7" s="81"/>
      <c r="AD7" s="87"/>
      <c r="AE7" s="369">
        <v>0.4375</v>
      </c>
      <c r="AF7" s="370">
        <v>0.625</v>
      </c>
      <c r="AG7" s="21" t="str">
        <f t="shared" si="2"/>
        <v>MAX=20</v>
      </c>
    </row>
    <row r="8" spans="2:33" ht="15.5" x14ac:dyDescent="0.2">
      <c r="B8" s="4" t="s">
        <v>197</v>
      </c>
      <c r="C8" s="500">
        <v>6</v>
      </c>
      <c r="D8" s="501" t="s">
        <v>66</v>
      </c>
      <c r="H8" s="9" t="s">
        <v>167</v>
      </c>
      <c r="J8" s="365">
        <v>45795</v>
      </c>
      <c r="K8" s="366" t="s">
        <v>68</v>
      </c>
      <c r="M8" s="367" t="s">
        <v>266</v>
      </c>
      <c r="U8" s="19">
        <v>0.41666666666666669</v>
      </c>
      <c r="W8" s="20" t="s">
        <v>221</v>
      </c>
      <c r="Y8" s="64" t="str">
        <f t="shared" si="0"/>
        <v>＃607</v>
      </c>
      <c r="Z8" s="59">
        <f t="shared" si="1"/>
        <v>45795</v>
      </c>
      <c r="AA8" s="21" t="s">
        <v>199</v>
      </c>
      <c r="AB8" s="379" t="s">
        <v>258</v>
      </c>
      <c r="AC8" s="81"/>
      <c r="AD8" s="87"/>
      <c r="AE8" s="369">
        <v>0</v>
      </c>
      <c r="AF8" s="371">
        <v>0.625</v>
      </c>
      <c r="AG8" s="21" t="str">
        <f t="shared" si="2"/>
        <v>MAX=40</v>
      </c>
    </row>
    <row r="9" spans="2:33" ht="15.5" x14ac:dyDescent="0.2">
      <c r="B9" s="4" t="s">
        <v>195</v>
      </c>
      <c r="C9" s="499">
        <v>23.8</v>
      </c>
      <c r="D9" s="501" t="s">
        <v>66</v>
      </c>
      <c r="H9" s="9" t="s">
        <v>168</v>
      </c>
      <c r="J9" s="365">
        <v>45823</v>
      </c>
      <c r="K9" s="366" t="s">
        <v>67</v>
      </c>
      <c r="M9" s="367" t="s">
        <v>267</v>
      </c>
      <c r="U9" s="19">
        <v>0.4375</v>
      </c>
      <c r="Y9" s="64" t="str">
        <f t="shared" si="0"/>
        <v>＃608</v>
      </c>
      <c r="Z9" s="59">
        <f t="shared" si="1"/>
        <v>45823</v>
      </c>
      <c r="AA9" s="21" t="s">
        <v>255</v>
      </c>
      <c r="AB9" s="379" t="s">
        <v>129</v>
      </c>
      <c r="AC9" s="81"/>
      <c r="AD9" s="87"/>
      <c r="AE9" s="369">
        <v>0.4375</v>
      </c>
      <c r="AF9" s="370">
        <v>0.66666666666666663</v>
      </c>
      <c r="AG9" s="21" t="str">
        <f t="shared" si="2"/>
        <v>MAX=30</v>
      </c>
    </row>
    <row r="10" spans="2:33" ht="15.5" x14ac:dyDescent="0.2">
      <c r="B10" s="4" t="s">
        <v>196</v>
      </c>
      <c r="C10" s="499">
        <v>17.3</v>
      </c>
      <c r="D10" s="501" t="s">
        <v>67</v>
      </c>
      <c r="H10" s="9" t="s">
        <v>169</v>
      </c>
      <c r="J10" s="365">
        <v>45858</v>
      </c>
      <c r="K10" s="366" t="s">
        <v>66</v>
      </c>
      <c r="M10" s="367" t="s">
        <v>268</v>
      </c>
      <c r="U10" s="19">
        <v>0.4513888888888889</v>
      </c>
      <c r="Y10" s="64" t="str">
        <f t="shared" si="0"/>
        <v>＃609</v>
      </c>
      <c r="Z10" s="59">
        <f>J10</f>
        <v>45858</v>
      </c>
      <c r="AA10" s="21" t="s">
        <v>209</v>
      </c>
      <c r="AB10" s="379" t="s">
        <v>23</v>
      </c>
      <c r="AC10" s="81"/>
      <c r="AD10" s="87"/>
      <c r="AE10" s="369">
        <v>0.4375</v>
      </c>
      <c r="AF10" s="370">
        <v>0.66666666666666663</v>
      </c>
      <c r="AG10" s="21" t="str">
        <f t="shared" si="2"/>
        <v>MAX=20</v>
      </c>
    </row>
    <row r="11" spans="2:33" ht="15.5" x14ac:dyDescent="0.25">
      <c r="B11" s="14" t="s">
        <v>35</v>
      </c>
      <c r="C11" s="499">
        <v>47.4</v>
      </c>
      <c r="D11" s="501" t="s">
        <v>68</v>
      </c>
      <c r="H11" s="9" t="s">
        <v>170</v>
      </c>
      <c r="J11" s="365">
        <v>45886</v>
      </c>
      <c r="K11" s="366" t="s">
        <v>66</v>
      </c>
      <c r="M11" s="367" t="s">
        <v>269</v>
      </c>
      <c r="U11" s="19">
        <v>0.47916666666666669</v>
      </c>
      <c r="Y11" s="64" t="str">
        <f t="shared" si="0"/>
        <v>＃610</v>
      </c>
      <c r="Z11" s="59">
        <f t="shared" si="1"/>
        <v>45886</v>
      </c>
      <c r="AA11" s="21" t="s">
        <v>176</v>
      </c>
      <c r="AB11" s="379" t="s">
        <v>26</v>
      </c>
      <c r="AC11" s="81"/>
      <c r="AD11" s="87"/>
      <c r="AE11" s="369">
        <v>0.4375</v>
      </c>
      <c r="AF11" s="370">
        <v>0.66666666666666663</v>
      </c>
      <c r="AG11" s="21" t="str">
        <f t="shared" si="2"/>
        <v>MAX=20</v>
      </c>
    </row>
    <row r="12" spans="2:33" ht="15.5" x14ac:dyDescent="0.25">
      <c r="B12" s="14" t="s">
        <v>50</v>
      </c>
      <c r="C12" s="499">
        <v>26.6</v>
      </c>
      <c r="D12" s="501"/>
      <c r="H12" s="9" t="s">
        <v>171</v>
      </c>
      <c r="J12" s="365">
        <v>45907</v>
      </c>
      <c r="K12" s="366"/>
      <c r="M12" s="367" t="s">
        <v>270</v>
      </c>
      <c r="U12" s="19">
        <v>0</v>
      </c>
      <c r="Y12" s="64" t="str">
        <f t="shared" si="0"/>
        <v>＃611</v>
      </c>
      <c r="Z12" s="59">
        <f t="shared" si="1"/>
        <v>45907</v>
      </c>
      <c r="AA12" s="21" t="s">
        <v>208</v>
      </c>
      <c r="AB12" s="379"/>
      <c r="AC12" s="81"/>
      <c r="AD12" s="87"/>
      <c r="AE12" s="369"/>
      <c r="AF12" s="372"/>
      <c r="AG12" s="21">
        <f t="shared" si="2"/>
        <v>0</v>
      </c>
    </row>
    <row r="13" spans="2:33" ht="15.5" x14ac:dyDescent="0.2">
      <c r="B13" s="4" t="s">
        <v>215</v>
      </c>
      <c r="C13" s="499">
        <v>4.8</v>
      </c>
      <c r="D13" s="501" t="s">
        <v>66</v>
      </c>
      <c r="H13" s="9" t="s">
        <v>171</v>
      </c>
      <c r="J13" s="365">
        <v>45921</v>
      </c>
      <c r="K13" s="366" t="s">
        <v>67</v>
      </c>
      <c r="M13" s="367" t="s">
        <v>271</v>
      </c>
      <c r="U13" s="19">
        <v>0.38194444444444442</v>
      </c>
      <c r="Y13" s="64" t="str">
        <f t="shared" si="0"/>
        <v>＃612</v>
      </c>
      <c r="Z13" s="59">
        <f t="shared" si="1"/>
        <v>45921</v>
      </c>
      <c r="AA13" s="21" t="s">
        <v>297</v>
      </c>
      <c r="AB13" s="379" t="s">
        <v>278</v>
      </c>
      <c r="AC13" s="80" t="s">
        <v>225</v>
      </c>
      <c r="AD13" s="80" t="s">
        <v>225</v>
      </c>
      <c r="AE13" s="369">
        <v>0.4375</v>
      </c>
      <c r="AF13" s="370">
        <v>0.66666666666666663</v>
      </c>
      <c r="AG13" s="21" t="str">
        <f t="shared" si="2"/>
        <v>MAX=30</v>
      </c>
    </row>
    <row r="14" spans="2:33" ht="15.5" x14ac:dyDescent="0.2">
      <c r="B14" s="4" t="s">
        <v>217</v>
      </c>
      <c r="C14" s="499">
        <v>8.6</v>
      </c>
      <c r="D14" s="501" t="s">
        <v>66</v>
      </c>
      <c r="H14" s="9" t="s">
        <v>172</v>
      </c>
      <c r="J14" s="365">
        <v>45949</v>
      </c>
      <c r="K14" s="366"/>
      <c r="M14" s="367" t="s">
        <v>272</v>
      </c>
      <c r="Y14" s="64" t="str">
        <f t="shared" si="0"/>
        <v>＃613</v>
      </c>
      <c r="Z14" s="59">
        <f t="shared" si="1"/>
        <v>45949</v>
      </c>
      <c r="AA14" s="21" t="s">
        <v>195</v>
      </c>
      <c r="AB14" s="379" t="s">
        <v>279</v>
      </c>
      <c r="AC14" s="81"/>
      <c r="AD14" s="87"/>
      <c r="AE14" s="369"/>
      <c r="AF14" s="370"/>
      <c r="AG14" s="21">
        <f t="shared" si="2"/>
        <v>0</v>
      </c>
    </row>
    <row r="15" spans="2:33" ht="15.5" x14ac:dyDescent="0.2">
      <c r="B15" s="4" t="s">
        <v>209</v>
      </c>
      <c r="C15" s="499">
        <v>8</v>
      </c>
      <c r="D15" s="501" t="s">
        <v>66</v>
      </c>
      <c r="H15" s="9" t="s">
        <v>173</v>
      </c>
      <c r="J15" s="365">
        <v>45977</v>
      </c>
      <c r="K15" s="366" t="s">
        <v>67</v>
      </c>
      <c r="M15" s="367" t="s">
        <v>273</v>
      </c>
      <c r="Y15" s="64" t="str">
        <f t="shared" si="0"/>
        <v>＃614</v>
      </c>
      <c r="Z15" s="59">
        <f t="shared" si="1"/>
        <v>45977</v>
      </c>
      <c r="AA15" s="21" t="s">
        <v>196</v>
      </c>
      <c r="AB15" s="379" t="s">
        <v>280</v>
      </c>
      <c r="AC15" s="81"/>
      <c r="AD15" s="87"/>
      <c r="AE15" s="369">
        <v>0.4375</v>
      </c>
      <c r="AF15" s="370">
        <v>0.625</v>
      </c>
      <c r="AG15" s="21" t="str">
        <f t="shared" si="2"/>
        <v>MAX=30</v>
      </c>
    </row>
    <row r="16" spans="2:33" ht="16" thickBot="1" x14ac:dyDescent="0.25">
      <c r="B16" s="4"/>
      <c r="C16" s="21"/>
      <c r="D16" s="5"/>
      <c r="H16" s="9" t="s">
        <v>174</v>
      </c>
      <c r="J16" s="365">
        <v>46012</v>
      </c>
      <c r="K16" s="366" t="s">
        <v>66</v>
      </c>
      <c r="M16" s="367" t="s">
        <v>274</v>
      </c>
      <c r="Y16" s="65" t="str">
        <f t="shared" si="0"/>
        <v>＃615</v>
      </c>
      <c r="Z16" s="66">
        <f t="shared" si="1"/>
        <v>46012</v>
      </c>
      <c r="AA16" s="24" t="s">
        <v>176</v>
      </c>
      <c r="AB16" s="380" t="s">
        <v>259</v>
      </c>
      <c r="AC16" s="82"/>
      <c r="AD16" s="88"/>
      <c r="AE16" s="373">
        <v>0.4375</v>
      </c>
      <c r="AF16" s="374">
        <v>0.625</v>
      </c>
      <c r="AG16" s="21" t="str">
        <f t="shared" si="2"/>
        <v>MAX=20</v>
      </c>
    </row>
    <row r="17" spans="2:33" ht="16" thickBot="1" x14ac:dyDescent="0.25">
      <c r="B17" s="13"/>
      <c r="C17" s="24"/>
      <c r="D17" s="12"/>
      <c r="H17" s="16" t="s">
        <v>218</v>
      </c>
      <c r="J17" s="365">
        <v>46040</v>
      </c>
      <c r="K17" s="83"/>
      <c r="M17" s="367" t="s">
        <v>275</v>
      </c>
      <c r="Y17" s="65" t="str">
        <f t="shared" ref="Y17" si="3">M17</f>
        <v>＃616</v>
      </c>
      <c r="Z17" s="66">
        <f>J17</f>
        <v>46040</v>
      </c>
      <c r="AA17" s="24" t="s">
        <v>219</v>
      </c>
      <c r="AB17" s="381" t="s">
        <v>260</v>
      </c>
      <c r="AC17" s="82"/>
      <c r="AD17" s="88"/>
      <c r="AE17" s="90"/>
      <c r="AF17" s="92"/>
      <c r="AG17" s="21">
        <f t="shared" ref="AG17" si="4">K17</f>
        <v>0</v>
      </c>
    </row>
    <row r="18" spans="2:33" ht="16" thickBot="1" x14ac:dyDescent="0.25">
      <c r="J18" s="26"/>
      <c r="K18" s="83"/>
      <c r="M18" s="367" t="s">
        <v>276</v>
      </c>
      <c r="Y18" s="58"/>
      <c r="Z18" s="60" t="s">
        <v>130</v>
      </c>
      <c r="AA18" s="58" t="s">
        <v>131</v>
      </c>
      <c r="AB18" s="58"/>
      <c r="AC18" s="58"/>
      <c r="AD18" s="58"/>
      <c r="AE18" s="58"/>
    </row>
    <row r="19" spans="2:33" x14ac:dyDescent="0.2">
      <c r="M19" s="368"/>
    </row>
    <row r="20" spans="2:33" x14ac:dyDescent="0.2">
      <c r="M20" s="32"/>
    </row>
    <row r="21" spans="2:33" x14ac:dyDescent="0.2">
      <c r="M21" s="32"/>
    </row>
    <row r="22" spans="2:33" x14ac:dyDescent="0.2">
      <c r="M22" s="32"/>
    </row>
    <row r="23" spans="2:33" x14ac:dyDescent="0.2">
      <c r="M23" s="32"/>
    </row>
    <row r="24" spans="2:33" x14ac:dyDescent="0.2">
      <c r="M24" s="32"/>
    </row>
    <row r="25" spans="2:33" x14ac:dyDescent="0.2">
      <c r="M25" s="32"/>
    </row>
    <row r="26" spans="2:33" x14ac:dyDescent="0.2">
      <c r="M26" s="32"/>
    </row>
    <row r="27" spans="2:33" x14ac:dyDescent="0.2">
      <c r="M27" s="32"/>
    </row>
    <row r="28" spans="2:33" x14ac:dyDescent="0.2">
      <c r="M28" s="32"/>
    </row>
    <row r="45" spans="6:6" x14ac:dyDescent="0.2">
      <c r="F45" t="s">
        <v>186</v>
      </c>
    </row>
  </sheetData>
  <sheetProtection algorithmName="SHA-512" hashValue="Ug6H9XgWT0gQS3zeyuad87y7D21RRybVtkRMV8u9pNyAfjP76sIAipRhAo4Bxm1X6FWuNq10lneGmLtWTyyGFw==" saltValue="FllH3lXyAkm7eGs4PJIs2A==" spinCount="100000" sheet="1" objects="1" scenarios="1"/>
  <phoneticPr fontId="5"/>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28</vt:i4>
      </vt:variant>
    </vt:vector>
  </HeadingPairs>
  <TitlesOfParts>
    <vt:vector size="39" baseType="lpstr">
      <vt:lpstr>7月</vt:lpstr>
      <vt:lpstr>8月</vt:lpstr>
      <vt:lpstr>9月</vt:lpstr>
      <vt:lpstr>10月</vt:lpstr>
      <vt:lpstr>11月</vt:lpstr>
      <vt:lpstr>12月</vt:lpstr>
      <vt:lpstr>得点計</vt:lpstr>
      <vt:lpstr>ｺﾐｯﾃｨｰ</vt:lpstr>
      <vt:lpstr>参照ﾃﾞｰﾀ</vt:lpstr>
      <vt:lpstr>参照ＴＡ</vt:lpstr>
      <vt:lpstr>9月 (KFRランデブー)</vt:lpstr>
      <vt:lpstr>'10月'!Print_Area</vt:lpstr>
      <vt:lpstr>'11月'!Print_Area</vt:lpstr>
      <vt:lpstr>'12月'!Print_Area</vt:lpstr>
      <vt:lpstr>'7月'!Print_Area</vt:lpstr>
      <vt:lpstr>'8月'!Print_Area</vt:lpstr>
      <vt:lpstr>'9月'!Print_Area</vt:lpstr>
      <vt:lpstr>'9月 (KFRランデブー)'!Print_Area</vt:lpstr>
      <vt:lpstr>ｺﾐｯﾃｨｰ!Print_Area</vt:lpstr>
      <vt:lpstr>参照ＴＡ!Print_Area</vt:lpstr>
      <vt:lpstr>得点計!Print_Area</vt:lpstr>
      <vt:lpstr>ＴＡ</vt:lpstr>
      <vt:lpstr>コース</vt:lpstr>
      <vt:lpstr>コース・距離</vt:lpstr>
      <vt:lpstr>ランデブーレースＴＡ</vt:lpstr>
      <vt:lpstr>レース番号</vt:lpstr>
      <vt:lpstr>レース名</vt:lpstr>
      <vt:lpstr>開催日</vt:lpstr>
      <vt:lpstr>月</vt:lpstr>
      <vt:lpstr>暫定</vt:lpstr>
      <vt:lpstr>時刻</vt:lpstr>
      <vt:lpstr>第1月ＴＡ</vt:lpstr>
      <vt:lpstr>第2月ＴＡ</vt:lpstr>
      <vt:lpstr>第3月ＴＡ</vt:lpstr>
      <vt:lpstr>第4月ＴＡ</vt:lpstr>
      <vt:lpstr>第5月ＴＡ</vt:lpstr>
      <vt:lpstr>第6月ＴＡ</vt:lpstr>
      <vt:lpstr>得点</vt:lpstr>
      <vt:lpstr>年</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小網代ヨットクラブ KFRレース委員会</dc:creator>
  <cp:lastModifiedBy>眞由彦 原</cp:lastModifiedBy>
  <cp:lastPrinted>2025-11-16T05:00:27Z</cp:lastPrinted>
  <dcterms:created xsi:type="dcterms:W3CDTF">2015-05-21T03:15:11Z</dcterms:created>
  <dcterms:modified xsi:type="dcterms:W3CDTF">2026-01-06T07:03:19Z</dcterms:modified>
</cp:coreProperties>
</file>