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71894e3c1a01ec5/デスクトップ/KFRレース/"/>
    </mc:Choice>
  </mc:AlternateContent>
  <xr:revisionPtr revIDLastSave="105" documentId="8_{E1CB23F6-C845-47C8-9127-343DE1DA9C63}" xr6:coauthVersionLast="47" xr6:coauthVersionMax="47" xr10:uidLastSave="{933480CD-3E85-4C31-A4B9-67D1DAB50150}"/>
  <bookViews>
    <workbookView xWindow="6290" yWindow="500" windowWidth="19410" windowHeight="14290" tabRatio="632" activeTab="9" xr2:uid="{00000000-000D-0000-FFFF-FFFF00000000}"/>
  </bookViews>
  <sheets>
    <sheet name="7月" sheetId="27" r:id="rId1"/>
    <sheet name="8月" sheetId="30" r:id="rId2"/>
    <sheet name="9月" sheetId="32" r:id="rId3"/>
    <sheet name="10月" sheetId="33" r:id="rId4"/>
    <sheet name="11月" sheetId="35" r:id="rId5"/>
    <sheet name="12月" sheetId="36" r:id="rId6"/>
    <sheet name="得点計" sheetId="19" r:id="rId7"/>
    <sheet name="ｺﾐｯﾃｨｰ" sheetId="20" r:id="rId8"/>
    <sheet name="参照ﾃﾞｰﾀ" sheetId="2" r:id="rId9"/>
    <sheet name="参照ＴＡ" sheetId="37" r:id="rId10"/>
    <sheet name="9月 (KFRランデブー)" sheetId="34" r:id="rId11"/>
  </sheets>
  <definedNames>
    <definedName name="_xlnm._FilterDatabase" localSheetId="3" hidden="1">'10月'!$C$7:$K$17</definedName>
    <definedName name="_xlnm._FilterDatabase" localSheetId="4" hidden="1">'11月'!$C$7:$K$20</definedName>
    <definedName name="_xlnm._FilterDatabase" localSheetId="5" hidden="1">'12月'!$C$7:$K$20</definedName>
    <definedName name="_xlnm._FilterDatabase" localSheetId="0" hidden="1">'7月'!$C$7:$K$20</definedName>
    <definedName name="_xlnm._FilterDatabase" localSheetId="1" hidden="1">'8月'!$C$7:$K$20</definedName>
    <definedName name="_xlnm._FilterDatabase" localSheetId="2" hidden="1">'9月'!$C$7:$K$20</definedName>
    <definedName name="_xlnm._FilterDatabase" localSheetId="10" hidden="1">'9月 (KFRランデブー)'!$C$7:$K$20</definedName>
    <definedName name="_xlnm._FilterDatabase" localSheetId="6" hidden="1">得点計!$C$7:$K$26</definedName>
    <definedName name="AccessDatabase" hidden="1">"A:\フリートレース.mdb"</definedName>
    <definedName name="Button_1">"フリートレース_月別フォーマット_List"</definedName>
    <definedName name="Button_2">"フリートレース_月別フォーマット_List"</definedName>
    <definedName name="Button_3">"フリートレース_月別フォーマット_List"</definedName>
    <definedName name="Button_4">"フリートレース_月別フォーマット_List"</definedName>
    <definedName name="Button_7">"フリートレース_各艇データ__2__List"</definedName>
    <definedName name="Button_8">"フリートレース_各艇データ__2__List"</definedName>
    <definedName name="_xlnm.Print_Area" localSheetId="3">'10月'!$B$2:$Q$41</definedName>
    <definedName name="_xlnm.Print_Area" localSheetId="4">'11月'!$B$2:$Q$41</definedName>
    <definedName name="_xlnm.Print_Area" localSheetId="5">'12月'!$B$2:$Q$41</definedName>
    <definedName name="_xlnm.Print_Area" localSheetId="0">'7月'!$B$2:$Q$41</definedName>
    <definedName name="_xlnm.Print_Area" localSheetId="1">'8月'!$B$2:$Q$41</definedName>
    <definedName name="_xlnm.Print_Area" localSheetId="2">'9月'!$B$2:$Q$41</definedName>
    <definedName name="_xlnm.Print_Area" localSheetId="10">'9月 (KFRランデブー)'!$B$2:$Q$41</definedName>
    <definedName name="_xlnm.Print_Area" localSheetId="7">ｺﾐｯﾃｨｰ!$B$2:$M$33</definedName>
    <definedName name="_xlnm.Print_Area" localSheetId="6">得点計!$B$1:$N$40</definedName>
    <definedName name="ＴＡ">参照ﾃﾞｰﾀ!$S$3:$S$7</definedName>
    <definedName name="コース">参照ﾃﾞｰﾀ!$B$3:$B$15</definedName>
    <definedName name="コース・距離">参照ﾃﾞｰﾀ!$B$3:$D$15</definedName>
    <definedName name="フリートレース_各艇データ__2__List" localSheetId="3">#REF!</definedName>
    <definedName name="フリートレース_各艇データ__2__List" localSheetId="4">#REF!</definedName>
    <definedName name="フリートレース_各艇データ__2__List" localSheetId="5">#REF!</definedName>
    <definedName name="フリートレース_各艇データ__2__List" localSheetId="1">#REF!</definedName>
    <definedName name="フリートレース_各艇データ__2__List" localSheetId="2">#REF!</definedName>
    <definedName name="フリートレース_各艇データ__2__List" localSheetId="10">#REF!</definedName>
    <definedName name="フリートレース_各艇データ__2__List">#REF!</definedName>
    <definedName name="フリートレース_月別フォーマット_List" localSheetId="3">#REF!</definedName>
    <definedName name="フリートレース_月別フォーマット_List" localSheetId="4">#REF!</definedName>
    <definedName name="フリートレース_月別フォーマット_List" localSheetId="5">#REF!</definedName>
    <definedName name="フリートレース_月別フォーマット_List" localSheetId="1">#REF!</definedName>
    <definedName name="フリートレース_月別フォーマット_List" localSheetId="2">#REF!</definedName>
    <definedName name="フリートレース_月別フォーマット_List" localSheetId="10">#REF!</definedName>
    <definedName name="フリートレース_月別フォーマット_List">#REF!</definedName>
    <definedName name="ランデブーレースＴＡ">参照ＴＡ!$BE$6:$BK$50</definedName>
    <definedName name="レース番号">参照ﾃﾞｰﾀ!$M$3:$M$17</definedName>
    <definedName name="レース名">参照ﾃﾞｰﾀ!$O$3:$O$6</definedName>
    <definedName name="開催日">参照ﾃﾞｰﾀ!$J$3:$J$17</definedName>
    <definedName name="各艇データ">参照ﾃﾞｰﾀ!#REF!</definedName>
    <definedName name="月">参照ﾃﾞｰﾀ!$H$3:$H$16</definedName>
    <definedName name="暫定">参照ﾃﾞｰﾀ!$Q$3:$Q$5</definedName>
    <definedName name="時刻">参照ﾃﾞｰﾀ!$U$3:$U$12</definedName>
    <definedName name="第1月ＴＡ">参照ＴＡ!$C$6:$I$50</definedName>
    <definedName name="第2月ＴＡ">参照ＴＡ!$L$6:$R$50</definedName>
    <definedName name="第3月ＴＡ">参照ＴＡ!$U$6:$AA$50</definedName>
    <definedName name="第4月ＴＡ">参照ＴＡ!$AD$6:$AJ$50</definedName>
    <definedName name="第5月ＴＡ">参照ＴＡ!$AM$6:$AS$50</definedName>
    <definedName name="第6月ＴＡ">参照ＴＡ!$AV$6:$BB$50</definedName>
    <definedName name="得点">参照ﾃﾞｰﾀ!$W$3:$W$7</definedName>
    <definedName name="年">参照ﾃﾞｰﾀ!$F$3:$F$12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9" l="1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P2" i="36"/>
  <c r="P2" i="35"/>
  <c r="P2" i="27"/>
  <c r="P2" i="30"/>
  <c r="P2" i="32"/>
  <c r="P2" i="33"/>
  <c r="C19" i="20"/>
  <c r="M19" i="20"/>
  <c r="K19" i="20"/>
  <c r="I19" i="20"/>
  <c r="F20" i="20"/>
  <c r="G19" i="20"/>
  <c r="E19" i="20"/>
  <c r="E6" i="19"/>
  <c r="F6" i="19"/>
  <c r="J6" i="19"/>
  <c r="I6" i="19"/>
  <c r="H6" i="19"/>
  <c r="G6" i="19"/>
  <c r="J5" i="19"/>
  <c r="I5" i="19"/>
  <c r="H5" i="19"/>
  <c r="G5" i="19"/>
  <c r="F5" i="19"/>
  <c r="E5" i="19"/>
  <c r="J4" i="19"/>
  <c r="I4" i="19"/>
  <c r="H4" i="19"/>
  <c r="G4" i="19"/>
  <c r="F4" i="19"/>
  <c r="E4" i="19"/>
  <c r="V3" i="37" l="1"/>
  <c r="F35" i="32"/>
  <c r="F35" i="33"/>
  <c r="F38" i="36"/>
  <c r="F37" i="36"/>
  <c r="F38" i="35"/>
  <c r="F37" i="35"/>
  <c r="F38" i="33"/>
  <c r="F37" i="33"/>
  <c r="F38" i="32"/>
  <c r="F37" i="32"/>
  <c r="F38" i="27"/>
  <c r="F37" i="27"/>
  <c r="F37" i="30"/>
  <c r="F38" i="30"/>
  <c r="F39" i="30"/>
  <c r="V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26" i="36"/>
  <c r="Y27" i="36"/>
  <c r="Y28" i="36"/>
  <c r="Y29" i="36"/>
  <c r="Y30" i="36"/>
  <c r="Y31" i="36"/>
  <c r="Y7" i="36"/>
  <c r="O6" i="27"/>
  <c r="N3" i="36"/>
  <c r="K14" i="2"/>
  <c r="O6" i="33" s="1"/>
  <c r="K15" i="2"/>
  <c r="O6" i="35" s="1"/>
  <c r="K16" i="2"/>
  <c r="O6" i="36" s="1"/>
  <c r="K17" i="2"/>
  <c r="K4" i="2"/>
  <c r="K5" i="2"/>
  <c r="K6" i="2"/>
  <c r="K7" i="2"/>
  <c r="K8" i="2"/>
  <c r="K9" i="2"/>
  <c r="K10" i="2"/>
  <c r="K11" i="2"/>
  <c r="O6" i="30" s="1"/>
  <c r="K12" i="2"/>
  <c r="K13" i="2"/>
  <c r="O6" i="32"/>
  <c r="AE31" i="34" l="1"/>
  <c r="AD31" i="34"/>
  <c r="AC31" i="34"/>
  <c r="AB31" i="34"/>
  <c r="AA31" i="34"/>
  <c r="AE30" i="34"/>
  <c r="AD30" i="34"/>
  <c r="AC30" i="34"/>
  <c r="AB30" i="34"/>
  <c r="AA30" i="34"/>
  <c r="AE29" i="34"/>
  <c r="AD29" i="34"/>
  <c r="AC29" i="34"/>
  <c r="AB29" i="34"/>
  <c r="AA29" i="34"/>
  <c r="AE28" i="34"/>
  <c r="AD28" i="34"/>
  <c r="AC28" i="34"/>
  <c r="AB28" i="34"/>
  <c r="AA28" i="34"/>
  <c r="AE27" i="34"/>
  <c r="AD27" i="34"/>
  <c r="AC27" i="34"/>
  <c r="AB27" i="34"/>
  <c r="AA27" i="34"/>
  <c r="AE26" i="34"/>
  <c r="AD26" i="34"/>
  <c r="AC26" i="34"/>
  <c r="AB26" i="34"/>
  <c r="AA26" i="34"/>
  <c r="AE25" i="34"/>
  <c r="AD25" i="34"/>
  <c r="AC25" i="34"/>
  <c r="AB25" i="34"/>
  <c r="AA25" i="34"/>
  <c r="AE24" i="34"/>
  <c r="AD24" i="34"/>
  <c r="AC24" i="34"/>
  <c r="AB24" i="34"/>
  <c r="AA24" i="34"/>
  <c r="AE23" i="34"/>
  <c r="AD23" i="34"/>
  <c r="AC23" i="34"/>
  <c r="AB23" i="34"/>
  <c r="AA23" i="34"/>
  <c r="AE22" i="34"/>
  <c r="AD22" i="34"/>
  <c r="AC22" i="34"/>
  <c r="AB22" i="34"/>
  <c r="AA22" i="34"/>
  <c r="AE21" i="34"/>
  <c r="AD21" i="34"/>
  <c r="AC21" i="34"/>
  <c r="AB21" i="34"/>
  <c r="AA21" i="34"/>
  <c r="AE20" i="34"/>
  <c r="AD20" i="34"/>
  <c r="AC20" i="34"/>
  <c r="AB20" i="34"/>
  <c r="AA20" i="34"/>
  <c r="AE19" i="34"/>
  <c r="AD19" i="34"/>
  <c r="AC19" i="34"/>
  <c r="AB19" i="34"/>
  <c r="AA19" i="34"/>
  <c r="AE18" i="34"/>
  <c r="AD18" i="34"/>
  <c r="AC18" i="34"/>
  <c r="AB18" i="34"/>
  <c r="AA18" i="34"/>
  <c r="AE17" i="34"/>
  <c r="AD17" i="34"/>
  <c r="AC17" i="34"/>
  <c r="AB17" i="34"/>
  <c r="AA17" i="34"/>
  <c r="AE16" i="34"/>
  <c r="AD16" i="34"/>
  <c r="AC16" i="34"/>
  <c r="AB16" i="34"/>
  <c r="AA16" i="34"/>
  <c r="AE15" i="34"/>
  <c r="AD15" i="34"/>
  <c r="AC15" i="34"/>
  <c r="AB15" i="34"/>
  <c r="AA15" i="34"/>
  <c r="AE14" i="34"/>
  <c r="AD14" i="34"/>
  <c r="AC14" i="34"/>
  <c r="AB14" i="34"/>
  <c r="AA14" i="34"/>
  <c r="AE13" i="34"/>
  <c r="AD13" i="34"/>
  <c r="AC13" i="34"/>
  <c r="AB13" i="34"/>
  <c r="AA13" i="34"/>
  <c r="AE12" i="34"/>
  <c r="AD12" i="34"/>
  <c r="AC12" i="34"/>
  <c r="AB12" i="34"/>
  <c r="AA12" i="34"/>
  <c r="AE11" i="34"/>
  <c r="AD11" i="34"/>
  <c r="AC11" i="34"/>
  <c r="AB11" i="34"/>
  <c r="AA11" i="34"/>
  <c r="AE10" i="34"/>
  <c r="AD10" i="34"/>
  <c r="AC10" i="34"/>
  <c r="AB10" i="34"/>
  <c r="AA10" i="34"/>
  <c r="AE9" i="34"/>
  <c r="AD9" i="34"/>
  <c r="AC9" i="34"/>
  <c r="AB9" i="34"/>
  <c r="AA9" i="34"/>
  <c r="AE8" i="34"/>
  <c r="AD8" i="34"/>
  <c r="AC8" i="34"/>
  <c r="AB8" i="34"/>
  <c r="AA8" i="34"/>
  <c r="AE7" i="34"/>
  <c r="AD7" i="34"/>
  <c r="AC7" i="34"/>
  <c r="AB7" i="34"/>
  <c r="AA7" i="34"/>
  <c r="Y31" i="34"/>
  <c r="Y30" i="34"/>
  <c r="Y29" i="34"/>
  <c r="Y28" i="34"/>
  <c r="Y27" i="34"/>
  <c r="Y26" i="34"/>
  <c r="Y25" i="34"/>
  <c r="Y24" i="34"/>
  <c r="Y23" i="34"/>
  <c r="Y22" i="34"/>
  <c r="Y21" i="34"/>
  <c r="Y20" i="34"/>
  <c r="Y19" i="34"/>
  <c r="Y18" i="34"/>
  <c r="Y17" i="34"/>
  <c r="Y16" i="34"/>
  <c r="Y15" i="34"/>
  <c r="Y14" i="34"/>
  <c r="Y13" i="34"/>
  <c r="Y12" i="34"/>
  <c r="Y11" i="34"/>
  <c r="Y10" i="34"/>
  <c r="Y9" i="34"/>
  <c r="Y8" i="34"/>
  <c r="Y7" i="34"/>
  <c r="D31" i="36"/>
  <c r="D30" i="36"/>
  <c r="D29" i="36"/>
  <c r="D28" i="36"/>
  <c r="D27" i="36"/>
  <c r="D26" i="36"/>
  <c r="D25" i="36"/>
  <c r="D24" i="36"/>
  <c r="D23" i="36"/>
  <c r="D22" i="36"/>
  <c r="Y31" i="35"/>
  <c r="Y30" i="35"/>
  <c r="Y29" i="35"/>
  <c r="Y28" i="35"/>
  <c r="Y27" i="35"/>
  <c r="Y26" i="35"/>
  <c r="Y25" i="35"/>
  <c r="Y24" i="35"/>
  <c r="Y23" i="35"/>
  <c r="Y22" i="35"/>
  <c r="Y21" i="35"/>
  <c r="Y20" i="35"/>
  <c r="Y19" i="35"/>
  <c r="Y18" i="35"/>
  <c r="Y17" i="35"/>
  <c r="Y16" i="35"/>
  <c r="Y15" i="35"/>
  <c r="Y14" i="35"/>
  <c r="Y13" i="35"/>
  <c r="Y12" i="35"/>
  <c r="Y11" i="35"/>
  <c r="Y10" i="35"/>
  <c r="Y9" i="35"/>
  <c r="Y8" i="35"/>
  <c r="Y7" i="35"/>
  <c r="AC8" i="36" l="1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8" i="35"/>
  <c r="AC9" i="35"/>
  <c r="AC10" i="35"/>
  <c r="AC11" i="35"/>
  <c r="AC12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C30" i="35"/>
  <c r="AF31" i="32"/>
  <c r="AE31" i="32"/>
  <c r="AD31" i="32"/>
  <c r="AC31" i="32"/>
  <c r="AB31" i="32"/>
  <c r="AF30" i="32"/>
  <c r="AE30" i="32"/>
  <c r="AD30" i="32"/>
  <c r="AC30" i="32"/>
  <c r="AB30" i="32"/>
  <c r="AF29" i="32"/>
  <c r="AE29" i="32"/>
  <c r="AD29" i="32"/>
  <c r="AC29" i="32"/>
  <c r="AB29" i="32"/>
  <c r="AF28" i="32"/>
  <c r="AE28" i="32"/>
  <c r="AD28" i="32"/>
  <c r="AC28" i="32"/>
  <c r="AB28" i="32"/>
  <c r="AF27" i="32"/>
  <c r="AE27" i="32"/>
  <c r="AD27" i="32"/>
  <c r="AC27" i="32"/>
  <c r="AB27" i="32"/>
  <c r="AF26" i="32"/>
  <c r="AE26" i="32"/>
  <c r="AD26" i="32"/>
  <c r="AC26" i="32"/>
  <c r="AB26" i="32"/>
  <c r="AF25" i="32"/>
  <c r="AE25" i="32"/>
  <c r="AD25" i="32"/>
  <c r="AC25" i="32"/>
  <c r="AB25" i="32"/>
  <c r="AF24" i="32"/>
  <c r="AE24" i="32"/>
  <c r="AD24" i="32"/>
  <c r="AC24" i="32"/>
  <c r="AB24" i="32"/>
  <c r="AF23" i="32"/>
  <c r="AE23" i="32"/>
  <c r="AD23" i="32"/>
  <c r="AC23" i="32"/>
  <c r="AB23" i="32"/>
  <c r="AF22" i="32"/>
  <c r="AE22" i="32"/>
  <c r="AD22" i="32"/>
  <c r="AC22" i="32"/>
  <c r="AB22" i="32"/>
  <c r="AF21" i="32"/>
  <c r="AE21" i="32"/>
  <c r="AD21" i="32"/>
  <c r="AC21" i="32"/>
  <c r="AB21" i="32"/>
  <c r="AF20" i="32"/>
  <c r="AE20" i="32"/>
  <c r="AD20" i="32"/>
  <c r="AC20" i="32"/>
  <c r="AB20" i="32"/>
  <c r="AF19" i="32"/>
  <c r="AE19" i="32"/>
  <c r="AD19" i="32"/>
  <c r="AC19" i="32"/>
  <c r="AB19" i="32"/>
  <c r="AF18" i="32"/>
  <c r="AE18" i="32"/>
  <c r="AD18" i="32"/>
  <c r="AC18" i="32"/>
  <c r="AB18" i="32"/>
  <c r="AF17" i="32"/>
  <c r="AE17" i="32"/>
  <c r="AD17" i="32"/>
  <c r="AC17" i="32"/>
  <c r="AB17" i="32"/>
  <c r="AF16" i="32"/>
  <c r="AE16" i="32"/>
  <c r="AD16" i="32"/>
  <c r="AC16" i="32"/>
  <c r="AB16" i="32"/>
  <c r="AF15" i="32"/>
  <c r="AE15" i="32"/>
  <c r="AD15" i="32"/>
  <c r="AC15" i="32"/>
  <c r="AB15" i="32"/>
  <c r="AF14" i="32"/>
  <c r="AE14" i="32"/>
  <c r="AD14" i="32"/>
  <c r="AC14" i="32"/>
  <c r="AB14" i="32"/>
  <c r="AF13" i="32"/>
  <c r="AE13" i="32"/>
  <c r="AD13" i="32"/>
  <c r="AC13" i="32"/>
  <c r="AB13" i="32"/>
  <c r="AF12" i="32"/>
  <c r="AE12" i="32"/>
  <c r="AD12" i="32"/>
  <c r="AC12" i="32"/>
  <c r="AB12" i="32"/>
  <c r="AF11" i="32"/>
  <c r="AE11" i="32"/>
  <c r="AD11" i="32"/>
  <c r="AC11" i="32"/>
  <c r="AB11" i="32"/>
  <c r="AF10" i="32"/>
  <c r="AE10" i="32"/>
  <c r="AD10" i="32"/>
  <c r="AC10" i="32"/>
  <c r="AB10" i="32"/>
  <c r="AF9" i="32"/>
  <c r="AE9" i="32"/>
  <c r="AD9" i="32"/>
  <c r="AC9" i="32"/>
  <c r="AB9" i="32"/>
  <c r="AF8" i="32"/>
  <c r="AE8" i="32"/>
  <c r="AD8" i="32"/>
  <c r="AC8" i="32"/>
  <c r="AB8" i="32"/>
  <c r="AF7" i="32"/>
  <c r="AE7" i="32"/>
  <c r="AD7" i="32"/>
  <c r="AC7" i="32"/>
  <c r="AB7" i="32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29" i="30"/>
  <c r="AD30" i="30"/>
  <c r="AD7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7" i="30"/>
  <c r="AB8" i="30"/>
  <c r="AB9" i="30"/>
  <c r="AB10" i="30"/>
  <c r="AB11" i="30"/>
  <c r="AB12" i="30"/>
  <c r="AB13" i="30"/>
  <c r="AB14" i="30"/>
  <c r="AB15" i="30"/>
  <c r="AB16" i="30"/>
  <c r="AB17" i="30"/>
  <c r="AB18" i="30"/>
  <c r="AB19" i="30"/>
  <c r="AB20" i="30"/>
  <c r="AB21" i="30"/>
  <c r="AB22" i="30"/>
  <c r="AB23" i="30"/>
  <c r="AB24" i="30"/>
  <c r="AB25" i="30"/>
  <c r="AB26" i="30"/>
  <c r="AB27" i="30"/>
  <c r="AB28" i="30"/>
  <c r="AB29" i="30"/>
  <c r="AB30" i="30"/>
  <c r="AB7" i="30"/>
  <c r="AE31" i="36"/>
  <c r="AD31" i="36"/>
  <c r="AC31" i="36"/>
  <c r="AB31" i="36"/>
  <c r="AA31" i="36"/>
  <c r="AE30" i="36"/>
  <c r="AD30" i="36"/>
  <c r="AC30" i="36"/>
  <c r="AB30" i="36"/>
  <c r="AA30" i="36"/>
  <c r="AE29" i="36"/>
  <c r="AD29" i="36"/>
  <c r="AC29" i="36"/>
  <c r="AB29" i="36"/>
  <c r="AA29" i="36"/>
  <c r="AE28" i="36"/>
  <c r="AD28" i="36"/>
  <c r="AC28" i="36"/>
  <c r="AB28" i="36"/>
  <c r="AA28" i="36"/>
  <c r="AE27" i="36"/>
  <c r="AD27" i="36"/>
  <c r="AC27" i="36"/>
  <c r="AB27" i="36"/>
  <c r="AA27" i="36"/>
  <c r="AE26" i="36"/>
  <c r="O26" i="36" s="1"/>
  <c r="AD26" i="36"/>
  <c r="AB26" i="36"/>
  <c r="AA26" i="36"/>
  <c r="AE25" i="36"/>
  <c r="O25" i="36" s="1"/>
  <c r="AD25" i="36"/>
  <c r="AB25" i="36"/>
  <c r="AA25" i="36"/>
  <c r="AE24" i="36"/>
  <c r="O24" i="36" s="1"/>
  <c r="AD24" i="36"/>
  <c r="AB24" i="36"/>
  <c r="AA24" i="36"/>
  <c r="AE23" i="36"/>
  <c r="AD23" i="36"/>
  <c r="AB23" i="36"/>
  <c r="AA23" i="36"/>
  <c r="AE22" i="36"/>
  <c r="O22" i="36" s="1"/>
  <c r="AD22" i="36"/>
  <c r="AB22" i="36"/>
  <c r="AA22" i="36"/>
  <c r="AE21" i="36"/>
  <c r="AD21" i="36"/>
  <c r="AB21" i="36"/>
  <c r="AA21" i="36"/>
  <c r="AE20" i="36"/>
  <c r="AD20" i="36"/>
  <c r="AB20" i="36"/>
  <c r="AA20" i="36"/>
  <c r="AE19" i="36"/>
  <c r="AD19" i="36"/>
  <c r="AB19" i="36"/>
  <c r="AA19" i="36"/>
  <c r="AE18" i="36"/>
  <c r="AD18" i="36"/>
  <c r="AB18" i="36"/>
  <c r="AA18" i="36"/>
  <c r="AE17" i="36"/>
  <c r="O17" i="36" s="1"/>
  <c r="AD17" i="36"/>
  <c r="AB17" i="36"/>
  <c r="AA17" i="36"/>
  <c r="AE16" i="36"/>
  <c r="AD16" i="36"/>
  <c r="AB16" i="36"/>
  <c r="AA16" i="36"/>
  <c r="AE15" i="36"/>
  <c r="AD15" i="36"/>
  <c r="AB15" i="36"/>
  <c r="AA15" i="36"/>
  <c r="AE14" i="36"/>
  <c r="AD14" i="36"/>
  <c r="AB14" i="36"/>
  <c r="AA14" i="36"/>
  <c r="AE13" i="36"/>
  <c r="AD13" i="36"/>
  <c r="AB13" i="36"/>
  <c r="AA13" i="36"/>
  <c r="AE12" i="36"/>
  <c r="AD12" i="36"/>
  <c r="AB12" i="36"/>
  <c r="AA12" i="36"/>
  <c r="AE11" i="36"/>
  <c r="AD11" i="36"/>
  <c r="AB11" i="36"/>
  <c r="AA11" i="36"/>
  <c r="AE10" i="36"/>
  <c r="AD10" i="36"/>
  <c r="AB10" i="36"/>
  <c r="AA10" i="36"/>
  <c r="AE9" i="36"/>
  <c r="O9" i="36" s="1"/>
  <c r="AD9" i="36"/>
  <c r="AB9" i="36"/>
  <c r="AA9" i="36"/>
  <c r="AE8" i="36"/>
  <c r="AD8" i="36"/>
  <c r="AB8" i="36"/>
  <c r="AA8" i="36"/>
  <c r="AE7" i="36"/>
  <c r="O7" i="36" s="1"/>
  <c r="AD7" i="36"/>
  <c r="AC7" i="36"/>
  <c r="AB7" i="36"/>
  <c r="AA7" i="36"/>
  <c r="AA8" i="35"/>
  <c r="AA9" i="35"/>
  <c r="AA10" i="35"/>
  <c r="AA11" i="35"/>
  <c r="AA12" i="35"/>
  <c r="AA13" i="35"/>
  <c r="AA14" i="35"/>
  <c r="AA15" i="35"/>
  <c r="AA16" i="35"/>
  <c r="AA17" i="35"/>
  <c r="AA18" i="35"/>
  <c r="AA19" i="35"/>
  <c r="AA20" i="35"/>
  <c r="AA21" i="35"/>
  <c r="AA22" i="35"/>
  <c r="AA23" i="35"/>
  <c r="AA24" i="35"/>
  <c r="AA25" i="35"/>
  <c r="AA26" i="35"/>
  <c r="AA27" i="35"/>
  <c r="AA28" i="35"/>
  <c r="AA29" i="35"/>
  <c r="AA30" i="35"/>
  <c r="AA7" i="35"/>
  <c r="AB8" i="35"/>
  <c r="AB9" i="35"/>
  <c r="AB10" i="35"/>
  <c r="AB11" i="35"/>
  <c r="AB12" i="35"/>
  <c r="AB13" i="35"/>
  <c r="AB14" i="35"/>
  <c r="AB15" i="35"/>
  <c r="AB16" i="35"/>
  <c r="AB17" i="35"/>
  <c r="AB18" i="35"/>
  <c r="AB19" i="35"/>
  <c r="AB20" i="35"/>
  <c r="AB21" i="35"/>
  <c r="AB22" i="35"/>
  <c r="AB23" i="35"/>
  <c r="AB24" i="35"/>
  <c r="AB25" i="35"/>
  <c r="AB26" i="35"/>
  <c r="AB27" i="35"/>
  <c r="AB28" i="35"/>
  <c r="AB29" i="35"/>
  <c r="AB30" i="35"/>
  <c r="AB31" i="35"/>
  <c r="AB7" i="35"/>
  <c r="AC31" i="35"/>
  <c r="AC7" i="35"/>
  <c r="AE31" i="35"/>
  <c r="AD31" i="35"/>
  <c r="AA31" i="35"/>
  <c r="AE30" i="35"/>
  <c r="AD30" i="35"/>
  <c r="AE29" i="35"/>
  <c r="AD29" i="35"/>
  <c r="AE28" i="35"/>
  <c r="O28" i="35" s="1"/>
  <c r="AD28" i="35"/>
  <c r="AE27" i="35"/>
  <c r="O27" i="35" s="1"/>
  <c r="AD27" i="35"/>
  <c r="AE26" i="35"/>
  <c r="AD26" i="35"/>
  <c r="AE25" i="35"/>
  <c r="AD25" i="35"/>
  <c r="AE24" i="35"/>
  <c r="O24" i="35" s="1"/>
  <c r="AD24" i="35"/>
  <c r="AE23" i="35"/>
  <c r="O23" i="35" s="1"/>
  <c r="AD23" i="35"/>
  <c r="AE22" i="35"/>
  <c r="AD22" i="35"/>
  <c r="AE21" i="35"/>
  <c r="AD21" i="35"/>
  <c r="AE20" i="35"/>
  <c r="O20" i="35" s="1"/>
  <c r="AD20" i="35"/>
  <c r="AE19" i="35"/>
  <c r="O19" i="35" s="1"/>
  <c r="AD19" i="35"/>
  <c r="AE18" i="35"/>
  <c r="AD18" i="35"/>
  <c r="AE17" i="35"/>
  <c r="AD17" i="35"/>
  <c r="AE16" i="35"/>
  <c r="O16" i="35" s="1"/>
  <c r="AD16" i="35"/>
  <c r="AE15" i="35"/>
  <c r="O15" i="35" s="1"/>
  <c r="AD15" i="35"/>
  <c r="AE14" i="35"/>
  <c r="AD14" i="35"/>
  <c r="AE13" i="35"/>
  <c r="AD13" i="35"/>
  <c r="AE12" i="35"/>
  <c r="O12" i="35" s="1"/>
  <c r="I9" i="19" s="1"/>
  <c r="AD12" i="35"/>
  <c r="AE11" i="35"/>
  <c r="O11" i="35" s="1"/>
  <c r="AD11" i="35"/>
  <c r="AE10" i="35"/>
  <c r="AD10" i="35"/>
  <c r="AE9" i="35"/>
  <c r="AD9" i="35"/>
  <c r="AE8" i="35"/>
  <c r="O8" i="35" s="1"/>
  <c r="AD8" i="35"/>
  <c r="AE7" i="35"/>
  <c r="O7" i="35" s="1"/>
  <c r="I7" i="19" s="1"/>
  <c r="AD7" i="35"/>
  <c r="O31" i="36"/>
  <c r="O9" i="35"/>
  <c r="O10" i="35"/>
  <c r="O13" i="35"/>
  <c r="O14" i="35"/>
  <c r="O17" i="35"/>
  <c r="O18" i="35"/>
  <c r="O21" i="35"/>
  <c r="O22" i="35"/>
  <c r="O25" i="35"/>
  <c r="O26" i="35"/>
  <c r="O29" i="35"/>
  <c r="O30" i="35"/>
  <c r="O31" i="35"/>
  <c r="O31" i="33"/>
  <c r="O24" i="32"/>
  <c r="O16" i="32"/>
  <c r="O8" i="32"/>
  <c r="O31" i="32"/>
  <c r="O25" i="30"/>
  <c r="O17" i="30"/>
  <c r="O9" i="30"/>
  <c r="F7" i="19" s="1"/>
  <c r="O31" i="30"/>
  <c r="AF31" i="33"/>
  <c r="AE31" i="33"/>
  <c r="AD31" i="33"/>
  <c r="AC31" i="33"/>
  <c r="AB31" i="33"/>
  <c r="Z31" i="33"/>
  <c r="I31" i="33" s="1"/>
  <c r="AF30" i="33"/>
  <c r="AE30" i="33"/>
  <c r="AD30" i="33"/>
  <c r="AC30" i="33"/>
  <c r="AB30" i="33"/>
  <c r="Z30" i="33"/>
  <c r="I30" i="33" s="1"/>
  <c r="AF29" i="33"/>
  <c r="AE29" i="33"/>
  <c r="AD29" i="33"/>
  <c r="AC29" i="33"/>
  <c r="AB29" i="33"/>
  <c r="Z29" i="33"/>
  <c r="I29" i="33" s="1"/>
  <c r="AF28" i="33"/>
  <c r="AE28" i="33"/>
  <c r="AD28" i="33"/>
  <c r="AC28" i="33"/>
  <c r="AB28" i="33"/>
  <c r="Z28" i="33"/>
  <c r="I28" i="33" s="1"/>
  <c r="AF27" i="33"/>
  <c r="AE27" i="33"/>
  <c r="AD27" i="33"/>
  <c r="AC27" i="33"/>
  <c r="AB27" i="33"/>
  <c r="Z27" i="33"/>
  <c r="I27" i="33" s="1"/>
  <c r="AF26" i="33"/>
  <c r="AE26" i="33"/>
  <c r="AD26" i="33"/>
  <c r="AC26" i="33"/>
  <c r="AB26" i="33"/>
  <c r="Z26" i="33"/>
  <c r="I26" i="33" s="1"/>
  <c r="AF25" i="33"/>
  <c r="AE25" i="33"/>
  <c r="AD25" i="33"/>
  <c r="AC25" i="33"/>
  <c r="AB25" i="33"/>
  <c r="Z25" i="33"/>
  <c r="I25" i="33" s="1"/>
  <c r="AF24" i="33"/>
  <c r="O24" i="33" s="1"/>
  <c r="AE24" i="33"/>
  <c r="AD24" i="33"/>
  <c r="AC24" i="33"/>
  <c r="AB24" i="33"/>
  <c r="Z24" i="33"/>
  <c r="I24" i="33" s="1"/>
  <c r="AF23" i="33"/>
  <c r="AE23" i="33"/>
  <c r="AD23" i="33"/>
  <c r="AC23" i="33"/>
  <c r="AB23" i="33"/>
  <c r="Z23" i="33"/>
  <c r="I23" i="33" s="1"/>
  <c r="AF22" i="33"/>
  <c r="AE22" i="33"/>
  <c r="AD22" i="33"/>
  <c r="AC22" i="33"/>
  <c r="AB22" i="33"/>
  <c r="Z22" i="33"/>
  <c r="I22" i="33" s="1"/>
  <c r="AF21" i="33"/>
  <c r="AE21" i="33"/>
  <c r="AD21" i="33"/>
  <c r="AC21" i="33"/>
  <c r="AB21" i="33"/>
  <c r="Z21" i="33"/>
  <c r="I21" i="33" s="1"/>
  <c r="AF20" i="33"/>
  <c r="AE20" i="33"/>
  <c r="AD20" i="33"/>
  <c r="AC20" i="33"/>
  <c r="AB20" i="33"/>
  <c r="Z20" i="33"/>
  <c r="I20" i="33" s="1"/>
  <c r="AF19" i="33"/>
  <c r="AE19" i="33"/>
  <c r="AD19" i="33"/>
  <c r="AC19" i="33"/>
  <c r="AB19" i="33"/>
  <c r="Z19" i="33"/>
  <c r="I19" i="33" s="1"/>
  <c r="AF18" i="33"/>
  <c r="AE18" i="33"/>
  <c r="AD18" i="33"/>
  <c r="AC18" i="33"/>
  <c r="AB18" i="33"/>
  <c r="Z18" i="33"/>
  <c r="I18" i="33" s="1"/>
  <c r="AF17" i="33"/>
  <c r="AE17" i="33"/>
  <c r="AD17" i="33"/>
  <c r="AC17" i="33"/>
  <c r="AB17" i="33"/>
  <c r="Z17" i="33"/>
  <c r="I17" i="33" s="1"/>
  <c r="AF16" i="33"/>
  <c r="O16" i="33" s="1"/>
  <c r="AE16" i="33"/>
  <c r="AD16" i="33"/>
  <c r="AC16" i="33"/>
  <c r="AB16" i="33"/>
  <c r="Z16" i="33"/>
  <c r="I16" i="33" s="1"/>
  <c r="AF15" i="33"/>
  <c r="AE15" i="33"/>
  <c r="AD15" i="33"/>
  <c r="AC15" i="33"/>
  <c r="AB15" i="33"/>
  <c r="Z15" i="33"/>
  <c r="I15" i="33" s="1"/>
  <c r="AF14" i="33"/>
  <c r="AE14" i="33"/>
  <c r="AD14" i="33"/>
  <c r="AC14" i="33"/>
  <c r="AB14" i="33"/>
  <c r="Z14" i="33"/>
  <c r="I14" i="33" s="1"/>
  <c r="AF13" i="33"/>
  <c r="AE13" i="33"/>
  <c r="AD13" i="33"/>
  <c r="AC13" i="33"/>
  <c r="AB13" i="33"/>
  <c r="Z13" i="33"/>
  <c r="I13" i="33" s="1"/>
  <c r="AF12" i="33"/>
  <c r="AE12" i="33"/>
  <c r="AD12" i="33"/>
  <c r="AC12" i="33"/>
  <c r="AB12" i="33"/>
  <c r="Z12" i="33"/>
  <c r="I12" i="33" s="1"/>
  <c r="AF11" i="33"/>
  <c r="AE11" i="33"/>
  <c r="AD11" i="33"/>
  <c r="AC11" i="33"/>
  <c r="AB11" i="33"/>
  <c r="Z11" i="33"/>
  <c r="I11" i="33" s="1"/>
  <c r="AF10" i="33"/>
  <c r="AE10" i="33"/>
  <c r="AD10" i="33"/>
  <c r="AC10" i="33"/>
  <c r="AB10" i="33"/>
  <c r="Z10" i="33"/>
  <c r="I10" i="33" s="1"/>
  <c r="AF9" i="33"/>
  <c r="AE9" i="33"/>
  <c r="AD9" i="33"/>
  <c r="AC9" i="33"/>
  <c r="AB9" i="33"/>
  <c r="Z9" i="33"/>
  <c r="I9" i="33" s="1"/>
  <c r="AF8" i="33"/>
  <c r="O8" i="33" s="1"/>
  <c r="AE8" i="33"/>
  <c r="AD8" i="33"/>
  <c r="AC8" i="33"/>
  <c r="AB8" i="33"/>
  <c r="Z8" i="33"/>
  <c r="I8" i="33" s="1"/>
  <c r="AF7" i="33"/>
  <c r="AE7" i="33"/>
  <c r="AD7" i="33"/>
  <c r="AC7" i="33"/>
  <c r="AB7" i="33"/>
  <c r="Z7" i="33"/>
  <c r="I7" i="33" s="1"/>
  <c r="Z31" i="32"/>
  <c r="I31" i="32" s="1"/>
  <c r="Z30" i="32"/>
  <c r="I30" i="32" s="1"/>
  <c r="Z29" i="32"/>
  <c r="I29" i="32" s="1"/>
  <c r="Z28" i="32"/>
  <c r="I28" i="32" s="1"/>
  <c r="Z27" i="32"/>
  <c r="I27" i="32" s="1"/>
  <c r="Z26" i="32"/>
  <c r="I26" i="32" s="1"/>
  <c r="Z25" i="32"/>
  <c r="I25" i="32" s="1"/>
  <c r="Z24" i="32"/>
  <c r="I24" i="32" s="1"/>
  <c r="Z23" i="32"/>
  <c r="I23" i="32" s="1"/>
  <c r="Z22" i="32"/>
  <c r="I22" i="32" s="1"/>
  <c r="Z21" i="32"/>
  <c r="I21" i="32" s="1"/>
  <c r="Z20" i="32"/>
  <c r="I20" i="32" s="1"/>
  <c r="Z19" i="32"/>
  <c r="I19" i="32" s="1"/>
  <c r="Z18" i="32"/>
  <c r="I18" i="32" s="1"/>
  <c r="Z17" i="32"/>
  <c r="I17" i="32" s="1"/>
  <c r="Z16" i="32"/>
  <c r="I16" i="32" s="1"/>
  <c r="Z15" i="32"/>
  <c r="I15" i="32" s="1"/>
  <c r="Z14" i="32"/>
  <c r="I14" i="32" s="1"/>
  <c r="Z13" i="32"/>
  <c r="I13" i="32" s="1"/>
  <c r="Z12" i="32"/>
  <c r="I12" i="32" s="1"/>
  <c r="Z11" i="32"/>
  <c r="I11" i="32" s="1"/>
  <c r="Z10" i="32"/>
  <c r="I10" i="32" s="1"/>
  <c r="Z9" i="32"/>
  <c r="I9" i="32" s="1"/>
  <c r="Z8" i="32"/>
  <c r="I8" i="32" s="1"/>
  <c r="Z7" i="32"/>
  <c r="I7" i="32" s="1"/>
  <c r="AF31" i="30"/>
  <c r="AE31" i="30"/>
  <c r="AD31" i="30"/>
  <c r="AC31" i="30"/>
  <c r="AB31" i="30"/>
  <c r="Z31" i="30"/>
  <c r="I31" i="30" s="1"/>
  <c r="AF30" i="30"/>
  <c r="AE30" i="30"/>
  <c r="Z30" i="30"/>
  <c r="I30" i="30" s="1"/>
  <c r="AF29" i="30"/>
  <c r="AE29" i="30"/>
  <c r="Z29" i="30"/>
  <c r="I29" i="30" s="1"/>
  <c r="AF28" i="30"/>
  <c r="AE28" i="30"/>
  <c r="Z28" i="30"/>
  <c r="I28" i="30" s="1"/>
  <c r="AF27" i="30"/>
  <c r="AE27" i="30"/>
  <c r="Z27" i="30"/>
  <c r="I27" i="30" s="1"/>
  <c r="AF26" i="30"/>
  <c r="AE26" i="30"/>
  <c r="Z26" i="30"/>
  <c r="I26" i="30" s="1"/>
  <c r="AF25" i="30"/>
  <c r="AE25" i="30"/>
  <c r="Z25" i="30"/>
  <c r="I25" i="30" s="1"/>
  <c r="AF24" i="30"/>
  <c r="AE24" i="30"/>
  <c r="Z24" i="30"/>
  <c r="I24" i="30" s="1"/>
  <c r="AF23" i="30"/>
  <c r="AE23" i="30"/>
  <c r="Z23" i="30"/>
  <c r="I23" i="30" s="1"/>
  <c r="AF22" i="30"/>
  <c r="AE22" i="30"/>
  <c r="Z22" i="30"/>
  <c r="I22" i="30" s="1"/>
  <c r="AF21" i="30"/>
  <c r="AE21" i="30"/>
  <c r="Z21" i="30"/>
  <c r="I21" i="30" s="1"/>
  <c r="AF20" i="30"/>
  <c r="AE20" i="30"/>
  <c r="Z20" i="30"/>
  <c r="I20" i="30" s="1"/>
  <c r="AF19" i="30"/>
  <c r="AE19" i="30"/>
  <c r="Z19" i="30"/>
  <c r="I19" i="30" s="1"/>
  <c r="AF18" i="30"/>
  <c r="AE18" i="30"/>
  <c r="Z18" i="30"/>
  <c r="I18" i="30" s="1"/>
  <c r="AF17" i="30"/>
  <c r="AE17" i="30"/>
  <c r="Z17" i="30"/>
  <c r="I17" i="30" s="1"/>
  <c r="AF16" i="30"/>
  <c r="AE16" i="30"/>
  <c r="Z16" i="30"/>
  <c r="I16" i="30" s="1"/>
  <c r="AF15" i="30"/>
  <c r="AE15" i="30"/>
  <c r="Z15" i="30"/>
  <c r="I15" i="30" s="1"/>
  <c r="AF14" i="30"/>
  <c r="AE14" i="30"/>
  <c r="Z14" i="30"/>
  <c r="I14" i="30" s="1"/>
  <c r="AF13" i="30"/>
  <c r="AE13" i="30"/>
  <c r="Z13" i="30"/>
  <c r="I13" i="30" s="1"/>
  <c r="AF12" i="30"/>
  <c r="AE12" i="30"/>
  <c r="Z12" i="30"/>
  <c r="I12" i="30" s="1"/>
  <c r="AF11" i="30"/>
  <c r="AE11" i="30"/>
  <c r="Z11" i="30"/>
  <c r="I11" i="30" s="1"/>
  <c r="AF10" i="30"/>
  <c r="AE10" i="30"/>
  <c r="Z10" i="30"/>
  <c r="I10" i="30" s="1"/>
  <c r="AF9" i="30"/>
  <c r="AE9" i="30"/>
  <c r="Z9" i="30"/>
  <c r="I9" i="30" s="1"/>
  <c r="AF8" i="30"/>
  <c r="AE8" i="30"/>
  <c r="Z8" i="30"/>
  <c r="I8" i="30" s="1"/>
  <c r="AF7" i="30"/>
  <c r="AE7" i="30"/>
  <c r="Z7" i="30"/>
  <c r="I7" i="30" s="1"/>
  <c r="AE22" i="27"/>
  <c r="AE23" i="27"/>
  <c r="AE24" i="27"/>
  <c r="AE25" i="27"/>
  <c r="AE26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O22" i="27" s="1"/>
  <c r="AF23" i="27"/>
  <c r="O23" i="27" s="1"/>
  <c r="AF24" i="27"/>
  <c r="O24" i="27" s="1"/>
  <c r="AF25" i="27"/>
  <c r="AF26" i="27"/>
  <c r="AF27" i="27"/>
  <c r="AF28" i="27"/>
  <c r="AF29" i="27"/>
  <c r="AF30" i="27"/>
  <c r="AF31" i="27"/>
  <c r="AF7" i="27"/>
  <c r="AE8" i="27"/>
  <c r="AE9" i="27"/>
  <c r="AE10" i="27"/>
  <c r="AE11" i="27"/>
  <c r="AE12" i="27"/>
  <c r="AE13" i="27"/>
  <c r="AE14" i="27"/>
  <c r="AE15" i="27"/>
  <c r="AE16" i="27"/>
  <c r="AE17" i="27"/>
  <c r="AE18" i="27"/>
  <c r="AE19" i="27"/>
  <c r="AE20" i="27"/>
  <c r="AE21" i="27"/>
  <c r="AE7" i="27"/>
  <c r="AE27" i="27"/>
  <c r="AE28" i="27"/>
  <c r="AE29" i="27"/>
  <c r="AE30" i="27"/>
  <c r="AE31" i="27"/>
  <c r="AD8" i="27"/>
  <c r="AD9" i="27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25" i="27"/>
  <c r="AD26" i="27"/>
  <c r="AD27" i="27"/>
  <c r="AD28" i="27"/>
  <c r="AD29" i="27"/>
  <c r="AD30" i="27"/>
  <c r="AD31" i="27"/>
  <c r="AD7" i="27"/>
  <c r="AC8" i="27"/>
  <c r="AC9" i="27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7" i="27"/>
  <c r="Z8" i="27"/>
  <c r="Z9" i="27"/>
  <c r="Z10" i="27"/>
  <c r="Z11" i="27"/>
  <c r="Z12" i="27"/>
  <c r="Z13" i="27"/>
  <c r="Z14" i="27"/>
  <c r="Z15" i="27"/>
  <c r="Z16" i="27"/>
  <c r="Z17" i="27"/>
  <c r="Z18" i="27"/>
  <c r="Z19" i="27"/>
  <c r="Z20" i="27"/>
  <c r="Z21" i="27"/>
  <c r="Z22" i="27"/>
  <c r="Z23" i="27"/>
  <c r="Z24" i="27"/>
  <c r="Z25" i="27"/>
  <c r="Z26" i="27"/>
  <c r="Z27" i="27"/>
  <c r="Z28" i="27"/>
  <c r="Z29" i="27"/>
  <c r="Z30" i="27"/>
  <c r="Z31" i="27"/>
  <c r="Z7" i="27"/>
  <c r="N3" i="27"/>
  <c r="N3" i="30"/>
  <c r="J26" i="19"/>
  <c r="I26" i="19"/>
  <c r="H26" i="19"/>
  <c r="G26" i="19"/>
  <c r="F26" i="19"/>
  <c r="E26" i="19"/>
  <c r="J25" i="19"/>
  <c r="I25" i="19"/>
  <c r="H25" i="19"/>
  <c r="G25" i="19"/>
  <c r="F25" i="19"/>
  <c r="E25" i="19"/>
  <c r="J24" i="19"/>
  <c r="I24" i="19"/>
  <c r="H24" i="19"/>
  <c r="G24" i="19"/>
  <c r="F24" i="19"/>
  <c r="E24" i="19"/>
  <c r="J23" i="19"/>
  <c r="I23" i="19"/>
  <c r="H23" i="19"/>
  <c r="G23" i="19"/>
  <c r="F23" i="19"/>
  <c r="E23" i="19"/>
  <c r="J22" i="19"/>
  <c r="I22" i="19"/>
  <c r="H22" i="19"/>
  <c r="G22" i="19"/>
  <c r="F22" i="19"/>
  <c r="E22" i="19"/>
  <c r="J21" i="19"/>
  <c r="I21" i="19"/>
  <c r="H21" i="19"/>
  <c r="G21" i="19"/>
  <c r="F21" i="19"/>
  <c r="E21" i="19"/>
  <c r="J20" i="19"/>
  <c r="I20" i="19"/>
  <c r="H20" i="19"/>
  <c r="G20" i="19"/>
  <c r="F20" i="19"/>
  <c r="E20" i="19"/>
  <c r="J19" i="19"/>
  <c r="I19" i="19"/>
  <c r="H19" i="19"/>
  <c r="G19" i="19"/>
  <c r="F19" i="19"/>
  <c r="E19" i="19"/>
  <c r="J18" i="19"/>
  <c r="I18" i="19"/>
  <c r="H18" i="19"/>
  <c r="G18" i="19"/>
  <c r="F18" i="19"/>
  <c r="E18" i="19"/>
  <c r="J17" i="19"/>
  <c r="I17" i="19"/>
  <c r="H17" i="19"/>
  <c r="G17" i="19"/>
  <c r="F17" i="19"/>
  <c r="E17" i="19"/>
  <c r="J16" i="19"/>
  <c r="I16" i="19"/>
  <c r="H16" i="19"/>
  <c r="G16" i="19"/>
  <c r="F16" i="19"/>
  <c r="E16" i="19"/>
  <c r="J15" i="19"/>
  <c r="I15" i="19"/>
  <c r="H15" i="19"/>
  <c r="G15" i="19"/>
  <c r="F15" i="19"/>
  <c r="E15" i="19"/>
  <c r="J14" i="19"/>
  <c r="I14" i="19"/>
  <c r="H14" i="19"/>
  <c r="G14" i="19"/>
  <c r="F14" i="19"/>
  <c r="E14" i="19"/>
  <c r="J13" i="19"/>
  <c r="I13" i="19"/>
  <c r="H13" i="19"/>
  <c r="G13" i="19"/>
  <c r="F13" i="19"/>
  <c r="E13" i="19"/>
  <c r="J12" i="19"/>
  <c r="I12" i="19"/>
  <c r="H12" i="19"/>
  <c r="G12" i="19"/>
  <c r="F12" i="19"/>
  <c r="E12" i="19"/>
  <c r="J11" i="19"/>
  <c r="I11" i="19"/>
  <c r="H11" i="19"/>
  <c r="G11" i="19"/>
  <c r="F11" i="19"/>
  <c r="E11" i="19"/>
  <c r="I10" i="19"/>
  <c r="H10" i="19"/>
  <c r="G10" i="19"/>
  <c r="F10" i="19"/>
  <c r="E10" i="19"/>
  <c r="J9" i="19"/>
  <c r="H9" i="19"/>
  <c r="G9" i="19"/>
  <c r="F9" i="19"/>
  <c r="E9" i="19"/>
  <c r="J8" i="19"/>
  <c r="I8" i="19"/>
  <c r="H8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G35" i="34"/>
  <c r="O23" i="36" l="1"/>
  <c r="O26" i="27"/>
  <c r="O25" i="27"/>
  <c r="O8" i="36"/>
  <c r="O16" i="36"/>
  <c r="O10" i="36"/>
  <c r="O18" i="36"/>
  <c r="O11" i="36"/>
  <c r="O19" i="36"/>
  <c r="O27" i="36"/>
  <c r="O12" i="36"/>
  <c r="O20" i="36"/>
  <c r="O28" i="36"/>
  <c r="O13" i="36"/>
  <c r="O21" i="36"/>
  <c r="J10" i="19" s="1"/>
  <c r="O29" i="36"/>
  <c r="O14" i="36"/>
  <c r="O30" i="36"/>
  <c r="O15" i="36"/>
  <c r="J7" i="19"/>
  <c r="O9" i="33"/>
  <c r="O17" i="33"/>
  <c r="O25" i="33"/>
  <c r="O10" i="33"/>
  <c r="O18" i="33"/>
  <c r="O26" i="33"/>
  <c r="O11" i="33"/>
  <c r="O19" i="33"/>
  <c r="O27" i="33"/>
  <c r="O12" i="33"/>
  <c r="O20" i="33"/>
  <c r="O28" i="33"/>
  <c r="O13" i="33"/>
  <c r="O21" i="33"/>
  <c r="O29" i="33"/>
  <c r="O14" i="33"/>
  <c r="O22" i="33"/>
  <c r="O30" i="33"/>
  <c r="O7" i="33"/>
  <c r="H7" i="19" s="1"/>
  <c r="O15" i="33"/>
  <c r="O23" i="33"/>
  <c r="O9" i="32"/>
  <c r="O17" i="32"/>
  <c r="O25" i="32"/>
  <c r="O10" i="32"/>
  <c r="O18" i="32"/>
  <c r="O26" i="32"/>
  <c r="O11" i="32"/>
  <c r="O19" i="32"/>
  <c r="O27" i="32"/>
  <c r="O12" i="32"/>
  <c r="O20" i="32"/>
  <c r="O28" i="32"/>
  <c r="O13" i="32"/>
  <c r="O21" i="32"/>
  <c r="G7" i="19" s="1"/>
  <c r="O29" i="32"/>
  <c r="O14" i="32"/>
  <c r="O22" i="32"/>
  <c r="O30" i="32"/>
  <c r="O7" i="32"/>
  <c r="G8" i="19" s="1"/>
  <c r="O15" i="32"/>
  <c r="O23" i="32"/>
  <c r="O8" i="30"/>
  <c r="O16" i="30"/>
  <c r="O24" i="30"/>
  <c r="O10" i="30"/>
  <c r="O18" i="30"/>
  <c r="O26" i="30"/>
  <c r="O11" i="30"/>
  <c r="O19" i="30"/>
  <c r="O27" i="30"/>
  <c r="O12" i="30"/>
  <c r="O20" i="30"/>
  <c r="O28" i="30"/>
  <c r="O13" i="30"/>
  <c r="O21" i="30"/>
  <c r="O29" i="30"/>
  <c r="O14" i="30"/>
  <c r="O22" i="30"/>
  <c r="O30" i="30"/>
  <c r="O7" i="30"/>
  <c r="F8" i="19" s="1"/>
  <c r="O15" i="30"/>
  <c r="O23" i="30"/>
  <c r="O10" i="27"/>
  <c r="O8" i="27"/>
  <c r="E8" i="19" s="1"/>
  <c r="O17" i="27"/>
  <c r="O7" i="27"/>
  <c r="O16" i="27"/>
  <c r="O31" i="27"/>
  <c r="O15" i="27"/>
  <c r="O30" i="27"/>
  <c r="O14" i="27"/>
  <c r="O29" i="27"/>
  <c r="O21" i="27"/>
  <c r="O13" i="27"/>
  <c r="O28" i="27"/>
  <c r="O20" i="27"/>
  <c r="O12" i="27"/>
  <c r="O27" i="27"/>
  <c r="O19" i="27"/>
  <c r="O11" i="27"/>
  <c r="O9" i="27"/>
  <c r="O18" i="27"/>
  <c r="V8" i="34"/>
  <c r="W8" i="34"/>
  <c r="X8" i="34"/>
  <c r="V9" i="34"/>
  <c r="W9" i="34"/>
  <c r="X9" i="34"/>
  <c r="V10" i="34"/>
  <c r="W10" i="34"/>
  <c r="X10" i="34"/>
  <c r="V11" i="34"/>
  <c r="W11" i="34"/>
  <c r="X11" i="34"/>
  <c r="V12" i="34"/>
  <c r="W12" i="34"/>
  <c r="X12" i="34"/>
  <c r="V13" i="34"/>
  <c r="W13" i="34"/>
  <c r="X13" i="34"/>
  <c r="V14" i="34"/>
  <c r="W14" i="34"/>
  <c r="X14" i="34"/>
  <c r="V15" i="34"/>
  <c r="W15" i="34"/>
  <c r="X15" i="34"/>
  <c r="V16" i="34"/>
  <c r="W16" i="34"/>
  <c r="X16" i="34"/>
  <c r="V17" i="34"/>
  <c r="W17" i="34"/>
  <c r="X17" i="34"/>
  <c r="V18" i="34"/>
  <c r="W18" i="34"/>
  <c r="X18" i="34"/>
  <c r="V19" i="34"/>
  <c r="W19" i="34"/>
  <c r="X19" i="34"/>
  <c r="V20" i="34"/>
  <c r="W20" i="34"/>
  <c r="X20" i="34"/>
  <c r="V21" i="34"/>
  <c r="W21" i="34"/>
  <c r="X21" i="34"/>
  <c r="V22" i="34"/>
  <c r="W22" i="34"/>
  <c r="X22" i="34"/>
  <c r="V23" i="34"/>
  <c r="W23" i="34"/>
  <c r="X23" i="34"/>
  <c r="V24" i="34"/>
  <c r="W24" i="34"/>
  <c r="X24" i="34"/>
  <c r="V25" i="34"/>
  <c r="W25" i="34"/>
  <c r="X25" i="34"/>
  <c r="V26" i="34"/>
  <c r="W26" i="34"/>
  <c r="X26" i="34"/>
  <c r="V27" i="34"/>
  <c r="W27" i="34"/>
  <c r="X27" i="34"/>
  <c r="V28" i="34"/>
  <c r="W28" i="34"/>
  <c r="X28" i="34"/>
  <c r="V29" i="34"/>
  <c r="W29" i="34"/>
  <c r="X29" i="34"/>
  <c r="V30" i="34"/>
  <c r="W30" i="34"/>
  <c r="X30" i="34"/>
  <c r="V31" i="34"/>
  <c r="W31" i="34"/>
  <c r="X31" i="34"/>
  <c r="X7" i="34"/>
  <c r="W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7" i="34"/>
  <c r="V7" i="34"/>
  <c r="BF3" i="37"/>
  <c r="BD3" i="37"/>
  <c r="X7" i="35" l="1"/>
  <c r="I7" i="35" s="1"/>
  <c r="D8" i="35" l="1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7" i="35"/>
  <c r="D28" i="35"/>
  <c r="D29" i="35"/>
  <c r="D30" i="35"/>
  <c r="D31" i="35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7" i="36"/>
  <c r="D7" i="35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7" i="33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7" i="32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7" i="30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7" i="27"/>
  <c r="V8" i="36" l="1"/>
  <c r="W8" i="36"/>
  <c r="X8" i="36"/>
  <c r="V9" i="36"/>
  <c r="W9" i="36"/>
  <c r="X9" i="36"/>
  <c r="V10" i="36"/>
  <c r="W10" i="36"/>
  <c r="I10" i="36" s="1"/>
  <c r="X10" i="36"/>
  <c r="V11" i="36"/>
  <c r="W11" i="36"/>
  <c r="X11" i="36"/>
  <c r="V12" i="36"/>
  <c r="W12" i="36"/>
  <c r="I12" i="36" s="1"/>
  <c r="X12" i="36"/>
  <c r="V13" i="36"/>
  <c r="W13" i="36"/>
  <c r="I13" i="36" s="1"/>
  <c r="X13" i="36"/>
  <c r="V14" i="36"/>
  <c r="W14" i="36"/>
  <c r="I14" i="36" s="1"/>
  <c r="X14" i="36"/>
  <c r="V15" i="36"/>
  <c r="W15" i="36"/>
  <c r="X15" i="36"/>
  <c r="V16" i="36"/>
  <c r="W16" i="36"/>
  <c r="I16" i="36" s="1"/>
  <c r="X16" i="36"/>
  <c r="V17" i="36"/>
  <c r="W17" i="36"/>
  <c r="X17" i="36"/>
  <c r="V18" i="36"/>
  <c r="W18" i="36"/>
  <c r="X18" i="36"/>
  <c r="V19" i="36"/>
  <c r="W19" i="36"/>
  <c r="X19" i="36"/>
  <c r="V20" i="36"/>
  <c r="W20" i="36"/>
  <c r="I20" i="36" s="1"/>
  <c r="X20" i="36"/>
  <c r="V21" i="36"/>
  <c r="W21" i="36"/>
  <c r="I21" i="36" s="1"/>
  <c r="X21" i="36"/>
  <c r="V22" i="36"/>
  <c r="W22" i="36"/>
  <c r="I22" i="36" s="1"/>
  <c r="X22" i="36"/>
  <c r="V23" i="36"/>
  <c r="W23" i="36"/>
  <c r="X23" i="36"/>
  <c r="V24" i="36"/>
  <c r="W24" i="36"/>
  <c r="I24" i="36" s="1"/>
  <c r="X24" i="36"/>
  <c r="V25" i="36"/>
  <c r="W25" i="36"/>
  <c r="X25" i="36"/>
  <c r="V26" i="36"/>
  <c r="W26" i="36"/>
  <c r="X26" i="36"/>
  <c r="V27" i="36"/>
  <c r="W27" i="36"/>
  <c r="X27" i="36"/>
  <c r="V28" i="36"/>
  <c r="W28" i="36"/>
  <c r="I28" i="36" s="1"/>
  <c r="X28" i="36"/>
  <c r="V29" i="36"/>
  <c r="W29" i="36"/>
  <c r="I29" i="36" s="1"/>
  <c r="X29" i="36"/>
  <c r="V30" i="36"/>
  <c r="W30" i="36"/>
  <c r="I30" i="36" s="1"/>
  <c r="X30" i="36"/>
  <c r="V31" i="36"/>
  <c r="W31" i="36"/>
  <c r="X31" i="36"/>
  <c r="X7" i="36"/>
  <c r="W7" i="36"/>
  <c r="I7" i="36" s="1"/>
  <c r="V31" i="35"/>
  <c r="W31" i="35"/>
  <c r="X31" i="35"/>
  <c r="I31" i="35" s="1"/>
  <c r="V8" i="35"/>
  <c r="W8" i="35"/>
  <c r="X8" i="35"/>
  <c r="I8" i="35" s="1"/>
  <c r="V9" i="35"/>
  <c r="W9" i="35"/>
  <c r="X9" i="35"/>
  <c r="I9" i="35" s="1"/>
  <c r="V10" i="35"/>
  <c r="W10" i="35"/>
  <c r="X10" i="35"/>
  <c r="I10" i="35" s="1"/>
  <c r="V11" i="35"/>
  <c r="W11" i="35"/>
  <c r="X11" i="35"/>
  <c r="I11" i="35" s="1"/>
  <c r="V12" i="35"/>
  <c r="W12" i="35"/>
  <c r="X12" i="35"/>
  <c r="I12" i="35" s="1"/>
  <c r="V13" i="35"/>
  <c r="W13" i="35"/>
  <c r="X13" i="35"/>
  <c r="I13" i="35" s="1"/>
  <c r="V14" i="35"/>
  <c r="W14" i="35"/>
  <c r="X14" i="35"/>
  <c r="I14" i="35" s="1"/>
  <c r="V15" i="35"/>
  <c r="W15" i="35"/>
  <c r="X15" i="35"/>
  <c r="I15" i="35" s="1"/>
  <c r="V16" i="35"/>
  <c r="W16" i="35"/>
  <c r="X16" i="35"/>
  <c r="I16" i="35" s="1"/>
  <c r="V17" i="35"/>
  <c r="W17" i="35"/>
  <c r="X17" i="35"/>
  <c r="I17" i="35" s="1"/>
  <c r="V18" i="35"/>
  <c r="W18" i="35"/>
  <c r="X18" i="35"/>
  <c r="I18" i="35" s="1"/>
  <c r="V19" i="35"/>
  <c r="W19" i="35"/>
  <c r="X19" i="35"/>
  <c r="I19" i="35" s="1"/>
  <c r="V20" i="35"/>
  <c r="W20" i="35"/>
  <c r="X20" i="35"/>
  <c r="I20" i="35" s="1"/>
  <c r="V21" i="35"/>
  <c r="W21" i="35"/>
  <c r="X21" i="35"/>
  <c r="I21" i="35" s="1"/>
  <c r="V22" i="35"/>
  <c r="W22" i="35"/>
  <c r="X22" i="35"/>
  <c r="I22" i="35" s="1"/>
  <c r="V23" i="35"/>
  <c r="W23" i="35"/>
  <c r="X23" i="35"/>
  <c r="I23" i="35" s="1"/>
  <c r="V24" i="35"/>
  <c r="W24" i="35"/>
  <c r="X24" i="35"/>
  <c r="I24" i="35" s="1"/>
  <c r="V25" i="35"/>
  <c r="W25" i="35"/>
  <c r="X25" i="35"/>
  <c r="I25" i="35" s="1"/>
  <c r="V26" i="35"/>
  <c r="W26" i="35"/>
  <c r="X26" i="35"/>
  <c r="I26" i="35" s="1"/>
  <c r="V27" i="35"/>
  <c r="W27" i="35"/>
  <c r="X27" i="35"/>
  <c r="I27" i="35" s="1"/>
  <c r="V28" i="35"/>
  <c r="W28" i="35"/>
  <c r="X28" i="35"/>
  <c r="I28" i="35" s="1"/>
  <c r="V29" i="35"/>
  <c r="W29" i="35"/>
  <c r="X29" i="35"/>
  <c r="I29" i="35" s="1"/>
  <c r="V30" i="35"/>
  <c r="W30" i="35"/>
  <c r="X30" i="35"/>
  <c r="I30" i="35" s="1"/>
  <c r="W8" i="33"/>
  <c r="X8" i="33"/>
  <c r="Y8" i="33"/>
  <c r="W9" i="33"/>
  <c r="X9" i="33"/>
  <c r="Y9" i="33"/>
  <c r="W10" i="33"/>
  <c r="X10" i="33"/>
  <c r="Y10" i="33"/>
  <c r="W11" i="33"/>
  <c r="X11" i="33"/>
  <c r="Y11" i="33"/>
  <c r="W12" i="33"/>
  <c r="X12" i="33"/>
  <c r="Y12" i="33"/>
  <c r="W13" i="33"/>
  <c r="X13" i="33"/>
  <c r="Y13" i="33"/>
  <c r="W14" i="33"/>
  <c r="X14" i="33"/>
  <c r="Y14" i="33"/>
  <c r="W15" i="33"/>
  <c r="X15" i="33"/>
  <c r="Y15" i="33"/>
  <c r="W16" i="33"/>
  <c r="X16" i="33"/>
  <c r="Y16" i="33"/>
  <c r="W17" i="33"/>
  <c r="X17" i="33"/>
  <c r="Y17" i="33"/>
  <c r="W18" i="33"/>
  <c r="X18" i="33"/>
  <c r="Y18" i="33"/>
  <c r="W19" i="33"/>
  <c r="X19" i="33"/>
  <c r="Y19" i="33"/>
  <c r="W20" i="33"/>
  <c r="X20" i="33"/>
  <c r="Y20" i="33"/>
  <c r="W21" i="33"/>
  <c r="X21" i="33"/>
  <c r="Y21" i="33"/>
  <c r="W22" i="33"/>
  <c r="X22" i="33"/>
  <c r="Y22" i="33"/>
  <c r="W23" i="33"/>
  <c r="X23" i="33"/>
  <c r="Y23" i="33"/>
  <c r="W24" i="33"/>
  <c r="X24" i="33"/>
  <c r="Y24" i="33"/>
  <c r="W25" i="33"/>
  <c r="X25" i="33"/>
  <c r="Y25" i="33"/>
  <c r="W26" i="33"/>
  <c r="X26" i="33"/>
  <c r="Y26" i="33"/>
  <c r="W27" i="33"/>
  <c r="X27" i="33"/>
  <c r="Y27" i="33"/>
  <c r="W28" i="33"/>
  <c r="X28" i="33"/>
  <c r="Y28" i="33"/>
  <c r="W29" i="33"/>
  <c r="X29" i="33"/>
  <c r="Y29" i="33"/>
  <c r="W30" i="33"/>
  <c r="X30" i="33"/>
  <c r="Y30" i="33"/>
  <c r="W31" i="33"/>
  <c r="X31" i="33"/>
  <c r="Y31" i="33"/>
  <c r="W8" i="32"/>
  <c r="X8" i="32"/>
  <c r="Y8" i="32"/>
  <c r="W9" i="32"/>
  <c r="X9" i="32"/>
  <c r="Y9" i="32"/>
  <c r="W10" i="32"/>
  <c r="X10" i="32"/>
  <c r="Y10" i="32"/>
  <c r="W11" i="32"/>
  <c r="X11" i="32"/>
  <c r="Y11" i="32"/>
  <c r="W12" i="32"/>
  <c r="X12" i="32"/>
  <c r="Y12" i="32"/>
  <c r="W13" i="32"/>
  <c r="X13" i="32"/>
  <c r="Y13" i="32"/>
  <c r="W14" i="32"/>
  <c r="X14" i="32"/>
  <c r="Y14" i="32"/>
  <c r="W15" i="32"/>
  <c r="X15" i="32"/>
  <c r="Y15" i="32"/>
  <c r="W16" i="32"/>
  <c r="X16" i="32"/>
  <c r="Y16" i="32"/>
  <c r="W17" i="32"/>
  <c r="X17" i="32"/>
  <c r="Y17" i="32"/>
  <c r="W18" i="32"/>
  <c r="X18" i="32"/>
  <c r="Y18" i="32"/>
  <c r="W19" i="32"/>
  <c r="X19" i="32"/>
  <c r="Y19" i="32"/>
  <c r="W20" i="32"/>
  <c r="X20" i="32"/>
  <c r="Y20" i="32"/>
  <c r="W21" i="32"/>
  <c r="X21" i="32"/>
  <c r="Y21" i="32"/>
  <c r="W22" i="32"/>
  <c r="X22" i="32"/>
  <c r="Y22" i="32"/>
  <c r="W23" i="32"/>
  <c r="X23" i="32"/>
  <c r="Y23" i="32"/>
  <c r="W24" i="32"/>
  <c r="X24" i="32"/>
  <c r="Y24" i="32"/>
  <c r="W25" i="32"/>
  <c r="X25" i="32"/>
  <c r="Y25" i="32"/>
  <c r="W26" i="32"/>
  <c r="X26" i="32"/>
  <c r="Y26" i="32"/>
  <c r="W27" i="32"/>
  <c r="X27" i="32"/>
  <c r="Y27" i="32"/>
  <c r="W28" i="32"/>
  <c r="X28" i="32"/>
  <c r="Y28" i="32"/>
  <c r="W29" i="32"/>
  <c r="X29" i="32"/>
  <c r="Y29" i="32"/>
  <c r="W30" i="32"/>
  <c r="X30" i="32"/>
  <c r="Y30" i="32"/>
  <c r="W31" i="32"/>
  <c r="X31" i="32"/>
  <c r="Y31" i="32"/>
  <c r="W8" i="30"/>
  <c r="X8" i="30"/>
  <c r="Y8" i="30"/>
  <c r="W9" i="30"/>
  <c r="X9" i="30"/>
  <c r="Y9" i="30"/>
  <c r="W10" i="30"/>
  <c r="X10" i="30"/>
  <c r="Y10" i="30"/>
  <c r="W11" i="30"/>
  <c r="X11" i="30"/>
  <c r="Y11" i="30"/>
  <c r="W12" i="30"/>
  <c r="X12" i="30"/>
  <c r="Y12" i="30"/>
  <c r="W13" i="30"/>
  <c r="X13" i="30"/>
  <c r="Y13" i="30"/>
  <c r="W14" i="30"/>
  <c r="X14" i="30"/>
  <c r="Y14" i="30"/>
  <c r="W15" i="30"/>
  <c r="X15" i="30"/>
  <c r="Y15" i="30"/>
  <c r="W16" i="30"/>
  <c r="X16" i="30"/>
  <c r="Y16" i="30"/>
  <c r="W17" i="30"/>
  <c r="X17" i="30"/>
  <c r="Y17" i="30"/>
  <c r="W18" i="30"/>
  <c r="X18" i="30"/>
  <c r="Y18" i="30"/>
  <c r="W19" i="30"/>
  <c r="X19" i="30"/>
  <c r="Y19" i="30"/>
  <c r="W20" i="30"/>
  <c r="X20" i="30"/>
  <c r="Y20" i="30"/>
  <c r="W21" i="30"/>
  <c r="X21" i="30"/>
  <c r="Y21" i="30"/>
  <c r="W22" i="30"/>
  <c r="X22" i="30"/>
  <c r="Y22" i="30"/>
  <c r="W23" i="30"/>
  <c r="X23" i="30"/>
  <c r="Y23" i="30"/>
  <c r="W24" i="30"/>
  <c r="X24" i="30"/>
  <c r="Y24" i="30"/>
  <c r="W25" i="30"/>
  <c r="X25" i="30"/>
  <c r="Y25" i="30"/>
  <c r="W26" i="30"/>
  <c r="X26" i="30"/>
  <c r="Y26" i="30"/>
  <c r="W27" i="30"/>
  <c r="X27" i="30"/>
  <c r="Y27" i="30"/>
  <c r="W28" i="30"/>
  <c r="X28" i="30"/>
  <c r="Y28" i="30"/>
  <c r="W29" i="30"/>
  <c r="X29" i="30"/>
  <c r="Y29" i="30"/>
  <c r="W30" i="30"/>
  <c r="X30" i="30"/>
  <c r="Y30" i="30"/>
  <c r="W31" i="30"/>
  <c r="X31" i="30"/>
  <c r="Y31" i="30"/>
  <c r="I26" i="36" l="1"/>
  <c r="I18" i="36"/>
  <c r="I31" i="36"/>
  <c r="I23" i="36"/>
  <c r="I15" i="36"/>
  <c r="I25" i="36"/>
  <c r="I17" i="36"/>
  <c r="I9" i="36"/>
  <c r="I27" i="36"/>
  <c r="I19" i="36"/>
  <c r="I11" i="36"/>
  <c r="I8" i="36"/>
  <c r="W12" i="27"/>
  <c r="X12" i="27"/>
  <c r="I12" i="27" s="1"/>
  <c r="Y12" i="27"/>
  <c r="W13" i="27"/>
  <c r="X13" i="27"/>
  <c r="I13" i="27" s="1"/>
  <c r="Y13" i="27"/>
  <c r="W14" i="27"/>
  <c r="X14" i="27"/>
  <c r="I14" i="27" s="1"/>
  <c r="Y14" i="27"/>
  <c r="W15" i="27"/>
  <c r="X15" i="27"/>
  <c r="I15" i="27" s="1"/>
  <c r="Y15" i="27"/>
  <c r="W16" i="27"/>
  <c r="X16" i="27"/>
  <c r="I16" i="27" s="1"/>
  <c r="Y16" i="27"/>
  <c r="W17" i="27"/>
  <c r="X17" i="27"/>
  <c r="I17" i="27" s="1"/>
  <c r="Y17" i="27"/>
  <c r="W18" i="27"/>
  <c r="X18" i="27"/>
  <c r="I18" i="27" s="1"/>
  <c r="Y18" i="27"/>
  <c r="W19" i="27"/>
  <c r="X19" i="27"/>
  <c r="I19" i="27" s="1"/>
  <c r="Y19" i="27"/>
  <c r="W20" i="27"/>
  <c r="X20" i="27"/>
  <c r="I20" i="27" s="1"/>
  <c r="Y20" i="27"/>
  <c r="W21" i="27"/>
  <c r="X21" i="27"/>
  <c r="I21" i="27" s="1"/>
  <c r="Y21" i="27"/>
  <c r="W22" i="27"/>
  <c r="X22" i="27"/>
  <c r="I22" i="27" s="1"/>
  <c r="Y22" i="27"/>
  <c r="W23" i="27"/>
  <c r="X23" i="27"/>
  <c r="I23" i="27" s="1"/>
  <c r="Y23" i="27"/>
  <c r="W24" i="27"/>
  <c r="X24" i="27"/>
  <c r="I24" i="27" s="1"/>
  <c r="Y24" i="27"/>
  <c r="W25" i="27"/>
  <c r="X25" i="27"/>
  <c r="I25" i="27" s="1"/>
  <c r="Y25" i="27"/>
  <c r="W26" i="27"/>
  <c r="X26" i="27"/>
  <c r="I26" i="27" s="1"/>
  <c r="Y26" i="27"/>
  <c r="W27" i="27"/>
  <c r="X27" i="27"/>
  <c r="I27" i="27" s="1"/>
  <c r="Y27" i="27"/>
  <c r="W28" i="27"/>
  <c r="X28" i="27"/>
  <c r="I28" i="27" s="1"/>
  <c r="Y28" i="27"/>
  <c r="W29" i="27"/>
  <c r="X29" i="27"/>
  <c r="I29" i="27" s="1"/>
  <c r="Y29" i="27"/>
  <c r="W30" i="27"/>
  <c r="X30" i="27"/>
  <c r="I30" i="27" s="1"/>
  <c r="Y30" i="27"/>
  <c r="W31" i="27"/>
  <c r="X31" i="27"/>
  <c r="I31" i="27" s="1"/>
  <c r="Y31" i="27"/>
  <c r="W7" i="35" l="1"/>
  <c r="V7" i="35"/>
  <c r="X7" i="33"/>
  <c r="Y7" i="33"/>
  <c r="W7" i="33"/>
  <c r="Y7" i="32"/>
  <c r="X7" i="32"/>
  <c r="W7" i="32"/>
  <c r="Y7" i="30"/>
  <c r="X7" i="30"/>
  <c r="W7" i="30"/>
  <c r="Y8" i="27"/>
  <c r="Y9" i="27"/>
  <c r="Y10" i="27"/>
  <c r="Y11" i="27"/>
  <c r="X8" i="27"/>
  <c r="I8" i="27" s="1"/>
  <c r="X9" i="27"/>
  <c r="I9" i="27" s="1"/>
  <c r="X10" i="27"/>
  <c r="I10" i="27" s="1"/>
  <c r="X11" i="27"/>
  <c r="I11" i="27" s="1"/>
  <c r="W8" i="27"/>
  <c r="W9" i="27"/>
  <c r="W10" i="27"/>
  <c r="W11" i="27"/>
  <c r="W7" i="27"/>
  <c r="Y7" i="27"/>
  <c r="X7" i="27"/>
  <c r="I7" i="27" s="1"/>
  <c r="AU3" i="37" l="1"/>
  <c r="V2" i="36" s="1"/>
  <c r="AW3" i="37"/>
  <c r="W2" i="36" s="1"/>
  <c r="AN3" i="37"/>
  <c r="W2" i="35" s="1"/>
  <c r="AL3" i="37"/>
  <c r="V2" i="35" s="1"/>
  <c r="AE3" i="37"/>
  <c r="X2" i="33" s="1"/>
  <c r="AC3" i="37"/>
  <c r="W2" i="33" s="1"/>
  <c r="X2" i="32"/>
  <c r="T3" i="37"/>
  <c r="W2" i="32" s="1"/>
  <c r="M3" i="37"/>
  <c r="X2" i="30" s="1"/>
  <c r="K3" i="37"/>
  <c r="W2" i="30" s="1"/>
  <c r="D3" i="37"/>
  <c r="X2" i="27" s="1"/>
  <c r="B3" i="37"/>
  <c r="W2" i="27" s="1"/>
  <c r="F39" i="36" l="1"/>
  <c r="K26" i="19" l="1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26" i="35"/>
  <c r="H25" i="35"/>
  <c r="H24" i="35"/>
  <c r="H23" i="35"/>
  <c r="H22" i="35"/>
  <c r="H21" i="35"/>
  <c r="H20" i="35"/>
  <c r="H19" i="35"/>
  <c r="H18" i="35"/>
  <c r="H17" i="35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H26" i="30"/>
  <c r="H25" i="30"/>
  <c r="H24" i="30"/>
  <c r="H23" i="30"/>
  <c r="H22" i="30"/>
  <c r="H21" i="30"/>
  <c r="H20" i="30"/>
  <c r="H19" i="30"/>
  <c r="H18" i="30"/>
  <c r="H17" i="30"/>
  <c r="E26" i="30"/>
  <c r="E25" i="30"/>
  <c r="E24" i="30"/>
  <c r="E23" i="30"/>
  <c r="E22" i="30"/>
  <c r="E21" i="30"/>
  <c r="E20" i="30"/>
  <c r="E19" i="30"/>
  <c r="E18" i="30"/>
  <c r="E17" i="30"/>
  <c r="H23" i="27"/>
  <c r="H22" i="27"/>
  <c r="H21" i="27"/>
  <c r="H20" i="27"/>
  <c r="H19" i="27"/>
  <c r="H18" i="27"/>
  <c r="H17" i="27"/>
  <c r="H16" i="27"/>
  <c r="H15" i="27"/>
  <c r="H14" i="27"/>
  <c r="H13" i="27"/>
  <c r="H12" i="27"/>
  <c r="N20" i="27" s="1"/>
  <c r="N21" i="27" l="1"/>
  <c r="N16" i="27"/>
  <c r="N23" i="27"/>
  <c r="N19" i="27"/>
  <c r="N14" i="27"/>
  <c r="N17" i="27"/>
  <c r="N22" i="27"/>
  <c r="N13" i="27"/>
  <c r="N18" i="27"/>
  <c r="O6" i="34"/>
  <c r="H31" i="34"/>
  <c r="H27" i="34"/>
  <c r="H26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K21" i="19" l="1"/>
  <c r="K22" i="19"/>
  <c r="K25" i="19"/>
  <c r="K20" i="19"/>
  <c r="K24" i="19"/>
  <c r="K15" i="19"/>
  <c r="K23" i="19"/>
  <c r="K12" i="19"/>
  <c r="K18" i="19"/>
  <c r="K14" i="19"/>
  <c r="K11" i="19"/>
  <c r="K19" i="19"/>
  <c r="K13" i="19"/>
  <c r="K16" i="19"/>
  <c r="K10" i="19"/>
  <c r="K17" i="19"/>
  <c r="K8" i="19"/>
  <c r="K9" i="19"/>
  <c r="H22" i="33"/>
  <c r="H21" i="33"/>
  <c r="H20" i="33"/>
  <c r="D2" i="27" l="1"/>
  <c r="H16" i="35" l="1"/>
  <c r="H9" i="35"/>
  <c r="H10" i="35"/>
  <c r="H19" i="33" l="1"/>
  <c r="H17" i="33"/>
  <c r="F35" i="36" l="1"/>
  <c r="F39" i="35"/>
  <c r="F35" i="35"/>
  <c r="F39" i="33"/>
  <c r="F35" i="27"/>
  <c r="F39" i="27"/>
  <c r="F35" i="30"/>
  <c r="F39" i="32"/>
  <c r="R12" i="20"/>
  <c r="R7" i="20" l="1"/>
  <c r="R20" i="20" l="1"/>
  <c r="Q20" i="20"/>
  <c r="N3" i="35"/>
  <c r="T15" i="33"/>
  <c r="U15" i="33"/>
  <c r="V15" i="33"/>
  <c r="T16" i="33"/>
  <c r="U16" i="33"/>
  <c r="V16" i="33"/>
  <c r="T17" i="33"/>
  <c r="U17" i="33"/>
  <c r="V17" i="33"/>
  <c r="N26" i="35" l="1"/>
  <c r="N24" i="35"/>
  <c r="N22" i="35"/>
  <c r="N19" i="35"/>
  <c r="N17" i="35"/>
  <c r="N25" i="35"/>
  <c r="N23" i="35"/>
  <c r="N18" i="35"/>
  <c r="N20" i="35"/>
  <c r="K17" i="35"/>
  <c r="K18" i="35"/>
  <c r="K26" i="35"/>
  <c r="K19" i="35"/>
  <c r="K20" i="35"/>
  <c r="N21" i="35"/>
  <c r="K22" i="35"/>
  <c r="K21" i="35"/>
  <c r="K23" i="35"/>
  <c r="K25" i="35"/>
  <c r="K24" i="35"/>
  <c r="N20" i="30"/>
  <c r="N18" i="30"/>
  <c r="N26" i="30"/>
  <c r="N24" i="30"/>
  <c r="N22" i="30"/>
  <c r="N19" i="30"/>
  <c r="N17" i="30"/>
  <c r="N25" i="30"/>
  <c r="N23" i="30"/>
  <c r="K25" i="30"/>
  <c r="K26" i="30"/>
  <c r="K21" i="30"/>
  <c r="N21" i="30"/>
  <c r="K23" i="30"/>
  <c r="K22" i="30"/>
  <c r="K19" i="30"/>
  <c r="K18" i="30"/>
  <c r="K20" i="30"/>
  <c r="K17" i="30"/>
  <c r="K24" i="30"/>
  <c r="N22" i="36"/>
  <c r="N24" i="36"/>
  <c r="N19" i="36"/>
  <c r="N17" i="36"/>
  <c r="N15" i="36"/>
  <c r="N13" i="36"/>
  <c r="K17" i="36"/>
  <c r="N25" i="36"/>
  <c r="N18" i="36"/>
  <c r="N14" i="36"/>
  <c r="N12" i="36"/>
  <c r="K12" i="36"/>
  <c r="N20" i="36"/>
  <c r="K13" i="36"/>
  <c r="K26" i="36"/>
  <c r="K19" i="36"/>
  <c r="K15" i="36"/>
  <c r="K24" i="36"/>
  <c r="K21" i="36"/>
  <c r="N26" i="36"/>
  <c r="K18" i="36"/>
  <c r="K20" i="36"/>
  <c r="K23" i="36"/>
  <c r="K16" i="36"/>
  <c r="K22" i="36"/>
  <c r="N21" i="36"/>
  <c r="K14" i="36"/>
  <c r="N16" i="36"/>
  <c r="K25" i="36"/>
  <c r="N23" i="36"/>
  <c r="Z17" i="2"/>
  <c r="P20" i="20" s="1"/>
  <c r="Y17" i="2"/>
  <c r="U31" i="36" l="1"/>
  <c r="T31" i="36"/>
  <c r="S31" i="36"/>
  <c r="H31" i="36"/>
  <c r="U30" i="36"/>
  <c r="T30" i="36"/>
  <c r="S30" i="36"/>
  <c r="U29" i="36"/>
  <c r="T29" i="36"/>
  <c r="S29" i="36"/>
  <c r="U28" i="36"/>
  <c r="T28" i="36"/>
  <c r="S28" i="36"/>
  <c r="U27" i="36"/>
  <c r="T27" i="36"/>
  <c r="S27" i="36"/>
  <c r="H27" i="36"/>
  <c r="U26" i="36"/>
  <c r="T26" i="36"/>
  <c r="S26" i="36"/>
  <c r="U25" i="36"/>
  <c r="T25" i="36"/>
  <c r="S25" i="36"/>
  <c r="U24" i="36"/>
  <c r="T24" i="36"/>
  <c r="S24" i="36"/>
  <c r="U23" i="36"/>
  <c r="T23" i="36"/>
  <c r="S23" i="36"/>
  <c r="U22" i="36"/>
  <c r="T22" i="36"/>
  <c r="S22" i="36"/>
  <c r="U21" i="36"/>
  <c r="T21" i="36"/>
  <c r="S21" i="36"/>
  <c r="U20" i="36"/>
  <c r="E20" i="36" s="1"/>
  <c r="T20" i="36"/>
  <c r="S20" i="36"/>
  <c r="U19" i="36"/>
  <c r="E19" i="36" s="1"/>
  <c r="T19" i="36"/>
  <c r="S19" i="36"/>
  <c r="U18" i="36"/>
  <c r="E18" i="36" s="1"/>
  <c r="T18" i="36"/>
  <c r="S18" i="36"/>
  <c r="U17" i="36"/>
  <c r="T17" i="36"/>
  <c r="S17" i="36"/>
  <c r="U16" i="36"/>
  <c r="T16" i="36"/>
  <c r="S16" i="36"/>
  <c r="U15" i="36"/>
  <c r="T15" i="36"/>
  <c r="S15" i="36"/>
  <c r="U14" i="36"/>
  <c r="T14" i="36"/>
  <c r="S14" i="36"/>
  <c r="U13" i="36"/>
  <c r="T13" i="36"/>
  <c r="S13" i="36"/>
  <c r="H11" i="36"/>
  <c r="U12" i="36"/>
  <c r="T12" i="36"/>
  <c r="S12" i="36"/>
  <c r="U11" i="36"/>
  <c r="T11" i="36"/>
  <c r="S11" i="36"/>
  <c r="U10" i="36"/>
  <c r="T10" i="36"/>
  <c r="S10" i="36"/>
  <c r="H10" i="36"/>
  <c r="U9" i="36"/>
  <c r="T9" i="36"/>
  <c r="S9" i="36"/>
  <c r="H9" i="36"/>
  <c r="U8" i="36"/>
  <c r="T8" i="36"/>
  <c r="S8" i="36"/>
  <c r="H7" i="36"/>
  <c r="U7" i="36"/>
  <c r="T7" i="36"/>
  <c r="S7" i="36"/>
  <c r="H8" i="36"/>
  <c r="N31" i="36"/>
  <c r="D2" i="36"/>
  <c r="T31" i="35"/>
  <c r="S31" i="35"/>
  <c r="H31" i="35"/>
  <c r="N31" i="35" s="1"/>
  <c r="T30" i="35"/>
  <c r="S30" i="35"/>
  <c r="T29" i="35"/>
  <c r="S29" i="35"/>
  <c r="T28" i="35"/>
  <c r="S28" i="35"/>
  <c r="T27" i="35"/>
  <c r="S27" i="35"/>
  <c r="H27" i="35"/>
  <c r="T26" i="35"/>
  <c r="S26" i="35"/>
  <c r="T25" i="35"/>
  <c r="S25" i="35"/>
  <c r="T24" i="35"/>
  <c r="S24" i="35"/>
  <c r="T23" i="35"/>
  <c r="S23" i="35"/>
  <c r="T22" i="35"/>
  <c r="S22" i="35"/>
  <c r="T21" i="35"/>
  <c r="S21" i="35"/>
  <c r="T20" i="35"/>
  <c r="S20" i="35"/>
  <c r="T19" i="35"/>
  <c r="S19" i="35"/>
  <c r="T18" i="35"/>
  <c r="S18" i="35"/>
  <c r="T17" i="35"/>
  <c r="S17" i="35"/>
  <c r="T16" i="35"/>
  <c r="S16" i="35"/>
  <c r="H11" i="35"/>
  <c r="T15" i="35"/>
  <c r="S15" i="35"/>
  <c r="T14" i="35"/>
  <c r="S14" i="35"/>
  <c r="H13" i="35"/>
  <c r="T13" i="35"/>
  <c r="S13" i="35"/>
  <c r="H12" i="35"/>
  <c r="T12" i="35"/>
  <c r="S12" i="35"/>
  <c r="H7" i="35"/>
  <c r="T11" i="35"/>
  <c r="S11" i="35"/>
  <c r="H8" i="35"/>
  <c r="T10" i="35"/>
  <c r="S10" i="35"/>
  <c r="H14" i="35"/>
  <c r="T9" i="35"/>
  <c r="S9" i="35"/>
  <c r="T8" i="35"/>
  <c r="S8" i="35"/>
  <c r="H15" i="35"/>
  <c r="T7" i="35"/>
  <c r="S7" i="35"/>
  <c r="D2" i="35"/>
  <c r="O31" i="34"/>
  <c r="I31" i="34"/>
  <c r="U31" i="34"/>
  <c r="T31" i="34"/>
  <c r="S31" i="34"/>
  <c r="U30" i="34"/>
  <c r="T30" i="34"/>
  <c r="S30" i="34"/>
  <c r="U29" i="34"/>
  <c r="T29" i="34"/>
  <c r="S29" i="34"/>
  <c r="U28" i="34"/>
  <c r="T28" i="34"/>
  <c r="S28" i="34"/>
  <c r="U27" i="34"/>
  <c r="T27" i="34"/>
  <c r="S27" i="34"/>
  <c r="O26" i="34"/>
  <c r="I26" i="34"/>
  <c r="U26" i="34"/>
  <c r="T26" i="34"/>
  <c r="S26" i="34"/>
  <c r="U25" i="34"/>
  <c r="T25" i="34"/>
  <c r="S25" i="34"/>
  <c r="U24" i="34"/>
  <c r="T24" i="34"/>
  <c r="S24" i="34"/>
  <c r="I23" i="34"/>
  <c r="U23" i="34"/>
  <c r="T23" i="34"/>
  <c r="S23" i="34"/>
  <c r="I22" i="34"/>
  <c r="U22" i="34"/>
  <c r="T22" i="34"/>
  <c r="S22" i="34"/>
  <c r="I21" i="34"/>
  <c r="U21" i="34"/>
  <c r="T21" i="34"/>
  <c r="S21" i="34"/>
  <c r="I20" i="34"/>
  <c r="U20" i="34"/>
  <c r="T20" i="34"/>
  <c r="S20" i="34"/>
  <c r="I19" i="34"/>
  <c r="U19" i="34"/>
  <c r="T19" i="34"/>
  <c r="S19" i="34"/>
  <c r="I18" i="34"/>
  <c r="U18" i="34"/>
  <c r="T18" i="34"/>
  <c r="S18" i="34"/>
  <c r="I17" i="34"/>
  <c r="U17" i="34"/>
  <c r="T17" i="34"/>
  <c r="S17" i="34"/>
  <c r="I16" i="34"/>
  <c r="U16" i="34"/>
  <c r="T16" i="34"/>
  <c r="S16" i="34"/>
  <c r="I15" i="34"/>
  <c r="U15" i="34"/>
  <c r="T15" i="34"/>
  <c r="S15" i="34"/>
  <c r="I14" i="34"/>
  <c r="U14" i="34"/>
  <c r="T14" i="34"/>
  <c r="S14" i="34"/>
  <c r="I13" i="34"/>
  <c r="U13" i="34"/>
  <c r="T13" i="34"/>
  <c r="S13" i="34"/>
  <c r="I12" i="34"/>
  <c r="U12" i="34"/>
  <c r="T12" i="34"/>
  <c r="S12" i="34"/>
  <c r="I11" i="34"/>
  <c r="U11" i="34"/>
  <c r="T11" i="34"/>
  <c r="S11" i="34"/>
  <c r="I10" i="34"/>
  <c r="U10" i="34"/>
  <c r="T10" i="34"/>
  <c r="S10" i="34"/>
  <c r="I9" i="34"/>
  <c r="U9" i="34"/>
  <c r="T9" i="34"/>
  <c r="S9" i="34"/>
  <c r="I8" i="34"/>
  <c r="U8" i="34"/>
  <c r="T8" i="34"/>
  <c r="S8" i="34"/>
  <c r="I7" i="34"/>
  <c r="U7" i="34"/>
  <c r="T7" i="34"/>
  <c r="S7" i="34"/>
  <c r="N3" i="34"/>
  <c r="D2" i="34"/>
  <c r="V31" i="33"/>
  <c r="U31" i="33"/>
  <c r="T31" i="33"/>
  <c r="H31" i="33"/>
  <c r="V30" i="33"/>
  <c r="U30" i="33"/>
  <c r="T30" i="33"/>
  <c r="V29" i="33"/>
  <c r="U29" i="33"/>
  <c r="T29" i="33"/>
  <c r="V28" i="33"/>
  <c r="U28" i="33"/>
  <c r="T28" i="33"/>
  <c r="V27" i="33"/>
  <c r="U27" i="33"/>
  <c r="T27" i="33"/>
  <c r="H27" i="33"/>
  <c r="V26" i="33"/>
  <c r="U26" i="33"/>
  <c r="T26" i="33"/>
  <c r="H26" i="33"/>
  <c r="V25" i="33"/>
  <c r="U25" i="33"/>
  <c r="T25" i="33"/>
  <c r="V24" i="33"/>
  <c r="U24" i="33"/>
  <c r="T24" i="33"/>
  <c r="V23" i="33"/>
  <c r="U23" i="33"/>
  <c r="T23" i="33"/>
  <c r="V22" i="33"/>
  <c r="U22" i="33"/>
  <c r="E22" i="33" s="1"/>
  <c r="T22" i="33"/>
  <c r="V21" i="33"/>
  <c r="U21" i="33"/>
  <c r="E21" i="33" s="1"/>
  <c r="T21" i="33"/>
  <c r="V20" i="33"/>
  <c r="U20" i="33"/>
  <c r="E20" i="33" s="1"/>
  <c r="T20" i="33"/>
  <c r="V19" i="33"/>
  <c r="U19" i="33"/>
  <c r="E16" i="33" s="1"/>
  <c r="T19" i="33"/>
  <c r="V18" i="33"/>
  <c r="U18" i="33"/>
  <c r="E15" i="33" s="1"/>
  <c r="T18" i="33"/>
  <c r="H13" i="33"/>
  <c r="H16" i="33"/>
  <c r="H18" i="33"/>
  <c r="V14" i="33"/>
  <c r="U14" i="33"/>
  <c r="T14" i="33"/>
  <c r="H15" i="33"/>
  <c r="V13" i="33"/>
  <c r="U13" i="33"/>
  <c r="T13" i="33"/>
  <c r="H12" i="33"/>
  <c r="V12" i="33"/>
  <c r="U12" i="33"/>
  <c r="T12" i="33"/>
  <c r="H11" i="33"/>
  <c r="V11" i="33"/>
  <c r="U11" i="33"/>
  <c r="T11" i="33"/>
  <c r="H14" i="33"/>
  <c r="V10" i="33"/>
  <c r="U10" i="33"/>
  <c r="T10" i="33"/>
  <c r="H8" i="33"/>
  <c r="V9" i="33"/>
  <c r="U9" i="33"/>
  <c r="T9" i="33"/>
  <c r="H7" i="33"/>
  <c r="V8" i="33"/>
  <c r="U8" i="33"/>
  <c r="T8" i="33"/>
  <c r="H9" i="33"/>
  <c r="V7" i="33"/>
  <c r="U7" i="33"/>
  <c r="T7" i="33"/>
  <c r="H10" i="33"/>
  <c r="N3" i="33"/>
  <c r="D2" i="33"/>
  <c r="V31" i="32"/>
  <c r="U31" i="32"/>
  <c r="T31" i="32"/>
  <c r="H31" i="32"/>
  <c r="V30" i="32"/>
  <c r="U30" i="32"/>
  <c r="T30" i="32"/>
  <c r="V29" i="32"/>
  <c r="U29" i="32"/>
  <c r="T29" i="32"/>
  <c r="V28" i="32"/>
  <c r="U28" i="32"/>
  <c r="T28" i="32"/>
  <c r="V27" i="32"/>
  <c r="U27" i="32"/>
  <c r="T27" i="32"/>
  <c r="H27" i="32"/>
  <c r="V26" i="32"/>
  <c r="U26" i="32"/>
  <c r="T26" i="32"/>
  <c r="V25" i="32"/>
  <c r="U25" i="32"/>
  <c r="T25" i="32"/>
  <c r="V24" i="32"/>
  <c r="U24" i="32"/>
  <c r="T24" i="32"/>
  <c r="V23" i="32"/>
  <c r="U23" i="32"/>
  <c r="T23" i="32"/>
  <c r="V22" i="32"/>
  <c r="U22" i="32"/>
  <c r="T22" i="32"/>
  <c r="V21" i="32"/>
  <c r="U21" i="32"/>
  <c r="T21" i="32"/>
  <c r="V20" i="32"/>
  <c r="U20" i="32"/>
  <c r="T20" i="32"/>
  <c r="V19" i="32"/>
  <c r="U19" i="32"/>
  <c r="T19" i="32"/>
  <c r="V18" i="32"/>
  <c r="U18" i="32"/>
  <c r="T18" i="32"/>
  <c r="V17" i="32"/>
  <c r="U17" i="32"/>
  <c r="T17" i="32"/>
  <c r="V16" i="32"/>
  <c r="U16" i="32"/>
  <c r="T16" i="32"/>
  <c r="V15" i="32"/>
  <c r="U15" i="32"/>
  <c r="T15" i="32"/>
  <c r="V14" i="32"/>
  <c r="U14" i="32"/>
  <c r="T14" i="32"/>
  <c r="H10" i="32"/>
  <c r="V13" i="32"/>
  <c r="U13" i="32"/>
  <c r="T13" i="32"/>
  <c r="V12" i="32"/>
  <c r="U12" i="32"/>
  <c r="T12" i="32"/>
  <c r="V11" i="32"/>
  <c r="U11" i="32"/>
  <c r="T11" i="32"/>
  <c r="V10" i="32"/>
  <c r="U10" i="32"/>
  <c r="T10" i="32"/>
  <c r="H9" i="32"/>
  <c r="V9" i="32"/>
  <c r="U9" i="32"/>
  <c r="T9" i="32"/>
  <c r="H11" i="32"/>
  <c r="V8" i="32"/>
  <c r="U8" i="32"/>
  <c r="T8" i="32"/>
  <c r="H7" i="32"/>
  <c r="V7" i="32"/>
  <c r="U7" i="32"/>
  <c r="T7" i="32"/>
  <c r="H8" i="32"/>
  <c r="N3" i="32"/>
  <c r="D2" i="32"/>
  <c r="V31" i="30"/>
  <c r="U31" i="30"/>
  <c r="T31" i="30"/>
  <c r="H31" i="30"/>
  <c r="V30" i="30"/>
  <c r="U30" i="30"/>
  <c r="T30" i="30"/>
  <c r="V29" i="30"/>
  <c r="U29" i="30"/>
  <c r="T29" i="30"/>
  <c r="V28" i="30"/>
  <c r="U28" i="30"/>
  <c r="T28" i="30"/>
  <c r="V27" i="30"/>
  <c r="U27" i="30"/>
  <c r="T27" i="30"/>
  <c r="H27" i="30"/>
  <c r="V26" i="30"/>
  <c r="U26" i="30"/>
  <c r="T26" i="30"/>
  <c r="V25" i="30"/>
  <c r="U25" i="30"/>
  <c r="T25" i="30"/>
  <c r="V24" i="30"/>
  <c r="U24" i="30"/>
  <c r="T24" i="30"/>
  <c r="V23" i="30"/>
  <c r="U23" i="30"/>
  <c r="T23" i="30"/>
  <c r="V22" i="30"/>
  <c r="U22" i="30"/>
  <c r="T22" i="30"/>
  <c r="V21" i="30"/>
  <c r="U21" i="30"/>
  <c r="T21" i="30"/>
  <c r="V20" i="30"/>
  <c r="U20" i="30"/>
  <c r="T20" i="30"/>
  <c r="V19" i="30"/>
  <c r="U19" i="30"/>
  <c r="T19" i="30"/>
  <c r="V18" i="30"/>
  <c r="U18" i="30"/>
  <c r="T18" i="30"/>
  <c r="V17" i="30"/>
  <c r="U17" i="30"/>
  <c r="T17" i="30"/>
  <c r="H11" i="30"/>
  <c r="V16" i="30"/>
  <c r="U16" i="30"/>
  <c r="T16" i="30"/>
  <c r="H16" i="30"/>
  <c r="V15" i="30"/>
  <c r="U15" i="30"/>
  <c r="T15" i="30"/>
  <c r="H14" i="30"/>
  <c r="V14" i="30"/>
  <c r="U14" i="30"/>
  <c r="T14" i="30"/>
  <c r="V13" i="30"/>
  <c r="U13" i="30"/>
  <c r="T13" i="30"/>
  <c r="H12" i="30"/>
  <c r="V12" i="30"/>
  <c r="U12" i="30"/>
  <c r="T12" i="30"/>
  <c r="H8" i="30"/>
  <c r="V11" i="30"/>
  <c r="U11" i="30"/>
  <c r="T11" i="30"/>
  <c r="H13" i="30"/>
  <c r="V10" i="30"/>
  <c r="U10" i="30"/>
  <c r="T10" i="30"/>
  <c r="H15" i="30"/>
  <c r="V9" i="30"/>
  <c r="U9" i="30"/>
  <c r="T9" i="30"/>
  <c r="H10" i="30"/>
  <c r="V8" i="30"/>
  <c r="U8" i="30"/>
  <c r="T8" i="30"/>
  <c r="H7" i="30"/>
  <c r="V7" i="30"/>
  <c r="U7" i="30"/>
  <c r="T7" i="30"/>
  <c r="H9" i="30"/>
  <c r="D2" i="30"/>
  <c r="E13" i="36" l="1"/>
  <c r="E21" i="36"/>
  <c r="E16" i="36"/>
  <c r="E12" i="36"/>
  <c r="E17" i="36"/>
  <c r="E14" i="36"/>
  <c r="E15" i="36"/>
  <c r="E10" i="33"/>
  <c r="K11" i="34"/>
  <c r="K9" i="34"/>
  <c r="K19" i="34"/>
  <c r="N20" i="32"/>
  <c r="N18" i="32"/>
  <c r="N24" i="32"/>
  <c r="N22" i="32"/>
  <c r="N15" i="32"/>
  <c r="N13" i="32"/>
  <c r="N14" i="32"/>
  <c r="N19" i="32"/>
  <c r="N17" i="32"/>
  <c r="N25" i="32"/>
  <c r="N23" i="32"/>
  <c r="N12" i="32"/>
  <c r="K13" i="32"/>
  <c r="K25" i="32"/>
  <c r="K15" i="32"/>
  <c r="N26" i="32"/>
  <c r="N16" i="32"/>
  <c r="K17" i="32"/>
  <c r="K23" i="32"/>
  <c r="K14" i="32"/>
  <c r="K19" i="32"/>
  <c r="K18" i="32"/>
  <c r="N21" i="32"/>
  <c r="K20" i="32"/>
  <c r="K26" i="32"/>
  <c r="K22" i="32"/>
  <c r="K12" i="32"/>
  <c r="K24" i="32"/>
  <c r="K21" i="32"/>
  <c r="K16" i="32"/>
  <c r="K12" i="34"/>
  <c r="K20" i="34"/>
  <c r="K13" i="34"/>
  <c r="K21" i="34"/>
  <c r="K14" i="34"/>
  <c r="K22" i="34"/>
  <c r="K7" i="34"/>
  <c r="K15" i="34"/>
  <c r="K23" i="34"/>
  <c r="K31" i="34"/>
  <c r="K8" i="34"/>
  <c r="K16" i="34"/>
  <c r="K17" i="34"/>
  <c r="N26" i="34"/>
  <c r="N18" i="34"/>
  <c r="N11" i="34"/>
  <c r="N8" i="34"/>
  <c r="N20" i="34"/>
  <c r="N10" i="34"/>
  <c r="K27" i="34"/>
  <c r="N19" i="34"/>
  <c r="N16" i="34"/>
  <c r="N12" i="34"/>
  <c r="N22" i="34"/>
  <c r="N9" i="34"/>
  <c r="N27" i="34"/>
  <c r="N13" i="34"/>
  <c r="N31" i="34"/>
  <c r="N17" i="34"/>
  <c r="N21" i="34"/>
  <c r="N14" i="34"/>
  <c r="N23" i="34"/>
  <c r="N7" i="34"/>
  <c r="N15" i="34"/>
  <c r="K10" i="34"/>
  <c r="K18" i="34"/>
  <c r="K26" i="34"/>
  <c r="K31" i="32"/>
  <c r="E14" i="33"/>
  <c r="K13" i="33"/>
  <c r="E13" i="33"/>
  <c r="E12" i="33"/>
  <c r="K12" i="33"/>
  <c r="K20" i="33"/>
  <c r="K22" i="33"/>
  <c r="K21" i="33"/>
  <c r="K11" i="32"/>
  <c r="E9" i="32"/>
  <c r="E8" i="32"/>
  <c r="K9" i="32"/>
  <c r="K10" i="32"/>
  <c r="K8" i="32"/>
  <c r="E7" i="32"/>
  <c r="E10" i="32"/>
  <c r="E11" i="32"/>
  <c r="K7" i="32"/>
  <c r="N21" i="33"/>
  <c r="N22" i="33"/>
  <c r="N20" i="33"/>
  <c r="K12" i="35"/>
  <c r="E18" i="35"/>
  <c r="E13" i="35"/>
  <c r="E9" i="35"/>
  <c r="K11" i="35"/>
  <c r="K10" i="35"/>
  <c r="K16" i="35"/>
  <c r="E11" i="35"/>
  <c r="E19" i="35"/>
  <c r="E10" i="35"/>
  <c r="E16" i="35"/>
  <c r="K14" i="35"/>
  <c r="K9" i="35"/>
  <c r="N18" i="33"/>
  <c r="N19" i="33"/>
  <c r="K11" i="33"/>
  <c r="K19" i="33"/>
  <c r="K17" i="33"/>
  <c r="K10" i="33"/>
  <c r="K14" i="33"/>
  <c r="E11" i="33"/>
  <c r="E19" i="33"/>
  <c r="E17" i="33"/>
  <c r="E8" i="36"/>
  <c r="K8" i="36"/>
  <c r="E10" i="36"/>
  <c r="K7" i="36"/>
  <c r="E9" i="36"/>
  <c r="E11" i="36"/>
  <c r="K9" i="36"/>
  <c r="K11" i="36"/>
  <c r="E7" i="36"/>
  <c r="E7" i="35"/>
  <c r="K8" i="35"/>
  <c r="E15" i="35"/>
  <c r="K13" i="35"/>
  <c r="E21" i="35"/>
  <c r="E14" i="35"/>
  <c r="E20" i="35"/>
  <c r="E12" i="35"/>
  <c r="E17" i="35"/>
  <c r="E8" i="35"/>
  <c r="K15" i="35"/>
  <c r="K7" i="35"/>
  <c r="E9" i="33"/>
  <c r="K8" i="33"/>
  <c r="K18" i="33"/>
  <c r="E18" i="33"/>
  <c r="K7" i="33"/>
  <c r="E8" i="33"/>
  <c r="K9" i="33"/>
  <c r="E7" i="33"/>
  <c r="E10" i="30"/>
  <c r="E12" i="30"/>
  <c r="K31" i="30"/>
  <c r="E9" i="30"/>
  <c r="K10" i="30"/>
  <c r="K13" i="30"/>
  <c r="K14" i="30"/>
  <c r="E11" i="30"/>
  <c r="K9" i="30"/>
  <c r="E13" i="30"/>
  <c r="E14" i="30"/>
  <c r="K8" i="30"/>
  <c r="K10" i="36"/>
  <c r="K27" i="36"/>
  <c r="K31" i="35"/>
  <c r="N31" i="33"/>
  <c r="N8" i="36"/>
  <c r="K31" i="36"/>
  <c r="N7" i="35"/>
  <c r="N11" i="35"/>
  <c r="N16" i="35"/>
  <c r="K27" i="35"/>
  <c r="N7" i="36"/>
  <c r="N11" i="36"/>
  <c r="N27" i="36"/>
  <c r="N10" i="35"/>
  <c r="N14" i="35"/>
  <c r="N10" i="36"/>
  <c r="N9" i="36"/>
  <c r="N27" i="35"/>
  <c r="N8" i="35"/>
  <c r="N9" i="35"/>
  <c r="N12" i="35"/>
  <c r="N13" i="35"/>
  <c r="N15" i="35"/>
  <c r="N11" i="33"/>
  <c r="N13" i="33"/>
  <c r="N16" i="33"/>
  <c r="N8" i="33"/>
  <c r="K15" i="33"/>
  <c r="K31" i="33"/>
  <c r="N10" i="33"/>
  <c r="K26" i="33"/>
  <c r="N9" i="33"/>
  <c r="N14" i="33"/>
  <c r="K16" i="33"/>
  <c r="N7" i="33"/>
  <c r="N12" i="33"/>
  <c r="K15" i="30"/>
  <c r="N26" i="33"/>
  <c r="N27" i="33"/>
  <c r="N15" i="33"/>
  <c r="N17" i="33"/>
  <c r="K27" i="33"/>
  <c r="K27" i="32"/>
  <c r="N7" i="32"/>
  <c r="N9" i="32"/>
  <c r="N11" i="32"/>
  <c r="K7" i="30"/>
  <c r="N31" i="32"/>
  <c r="N27" i="32"/>
  <c r="K12" i="30"/>
  <c r="E16" i="30"/>
  <c r="N8" i="32"/>
  <c r="N10" i="32"/>
  <c r="K16" i="30"/>
  <c r="K11" i="30"/>
  <c r="N9" i="30"/>
  <c r="N10" i="30"/>
  <c r="N8" i="30"/>
  <c r="E7" i="30"/>
  <c r="E15" i="30"/>
  <c r="E8" i="30"/>
  <c r="N16" i="30"/>
  <c r="K27" i="30"/>
  <c r="N14" i="30"/>
  <c r="N13" i="30"/>
  <c r="N12" i="30"/>
  <c r="N15" i="30"/>
  <c r="N7" i="30"/>
  <c r="N27" i="30"/>
  <c r="N11" i="30"/>
  <c r="N31" i="30"/>
  <c r="L11" i="34" l="1"/>
  <c r="M14" i="34"/>
  <c r="L27" i="34"/>
  <c r="M26" i="34"/>
  <c r="M17" i="34"/>
  <c r="M19" i="34"/>
  <c r="L9" i="34"/>
  <c r="L19" i="34"/>
  <c r="L26" i="34"/>
  <c r="L23" i="34"/>
  <c r="L22" i="34"/>
  <c r="L18" i="34"/>
  <c r="L16" i="34"/>
  <c r="M27" i="34"/>
  <c r="L21" i="34"/>
  <c r="L10" i="34"/>
  <c r="M16" i="34"/>
  <c r="L7" i="34"/>
  <c r="L14" i="34"/>
  <c r="M10" i="34"/>
  <c r="L8" i="34"/>
  <c r="M7" i="34"/>
  <c r="M18" i="34"/>
  <c r="L17" i="34"/>
  <c r="M8" i="34"/>
  <c r="M20" i="34"/>
  <c r="L13" i="34"/>
  <c r="M22" i="34"/>
  <c r="M12" i="34"/>
  <c r="L31" i="34"/>
  <c r="M9" i="34"/>
  <c r="L12" i="34"/>
  <c r="M31" i="34"/>
  <c r="M13" i="34"/>
  <c r="M11" i="34"/>
  <c r="M15" i="34"/>
  <c r="M24" i="35"/>
  <c r="M19" i="35"/>
  <c r="L24" i="35"/>
  <c r="L17" i="35"/>
  <c r="M17" i="35"/>
  <c r="L25" i="35"/>
  <c r="L23" i="35"/>
  <c r="M23" i="35"/>
  <c r="M25" i="35"/>
  <c r="M18" i="35"/>
  <c r="L22" i="35"/>
  <c r="M26" i="35"/>
  <c r="L18" i="35"/>
  <c r="L26" i="35"/>
  <c r="M20" i="35"/>
  <c r="L19" i="35"/>
  <c r="M22" i="35"/>
  <c r="L20" i="35"/>
  <c r="M21" i="35"/>
  <c r="L21" i="35"/>
  <c r="M24" i="36"/>
  <c r="M22" i="36"/>
  <c r="L12" i="36"/>
  <c r="M15" i="36"/>
  <c r="M25" i="36"/>
  <c r="L15" i="36"/>
  <c r="L19" i="36"/>
  <c r="M12" i="36"/>
  <c r="M17" i="36"/>
  <c r="L25" i="36"/>
  <c r="M13" i="36"/>
  <c r="M14" i="36"/>
  <c r="L22" i="36"/>
  <c r="L17" i="36"/>
  <c r="M23" i="36"/>
  <c r="L13" i="36"/>
  <c r="L24" i="36"/>
  <c r="L23" i="36"/>
  <c r="M19" i="36"/>
  <c r="L14" i="36"/>
  <c r="M21" i="36"/>
  <c r="L18" i="36"/>
  <c r="L21" i="36"/>
  <c r="M18" i="36"/>
  <c r="M16" i="36"/>
  <c r="L16" i="36"/>
  <c r="M26" i="36"/>
  <c r="L26" i="36"/>
  <c r="L20" i="36"/>
  <c r="M20" i="36"/>
  <c r="M17" i="32"/>
  <c r="M22" i="32"/>
  <c r="M24" i="32"/>
  <c r="M19" i="32"/>
  <c r="L22" i="32"/>
  <c r="L17" i="32"/>
  <c r="L12" i="32"/>
  <c r="L19" i="32"/>
  <c r="M25" i="32"/>
  <c r="M20" i="32"/>
  <c r="M15" i="32"/>
  <c r="L25" i="32"/>
  <c r="L20" i="32"/>
  <c r="L15" i="32"/>
  <c r="L24" i="32"/>
  <c r="M23" i="32"/>
  <c r="L18" i="32"/>
  <c r="M13" i="32"/>
  <c r="L23" i="32"/>
  <c r="M18" i="32"/>
  <c r="L13" i="32"/>
  <c r="M12" i="32"/>
  <c r="M14" i="32"/>
  <c r="M21" i="32"/>
  <c r="L21" i="32"/>
  <c r="M26" i="32"/>
  <c r="L26" i="32"/>
  <c r="M16" i="32"/>
  <c r="L14" i="32"/>
  <c r="L16" i="32"/>
  <c r="M23" i="34"/>
  <c r="L20" i="34"/>
  <c r="M21" i="34"/>
  <c r="M24" i="30"/>
  <c r="M18" i="30"/>
  <c r="L17" i="30"/>
  <c r="M22" i="30"/>
  <c r="L18" i="30"/>
  <c r="L22" i="30"/>
  <c r="M17" i="30"/>
  <c r="L24" i="30"/>
  <c r="M26" i="30"/>
  <c r="L23" i="30"/>
  <c r="L26" i="30"/>
  <c r="M20" i="30"/>
  <c r="M19" i="30"/>
  <c r="L25" i="30"/>
  <c r="L20" i="30"/>
  <c r="M23" i="30"/>
  <c r="M25" i="30"/>
  <c r="L19" i="30"/>
  <c r="M21" i="30"/>
  <c r="L21" i="30"/>
  <c r="L15" i="34"/>
  <c r="M20" i="33"/>
  <c r="M7" i="32"/>
  <c r="L22" i="33"/>
  <c r="M22" i="33"/>
  <c r="L21" i="33"/>
  <c r="M21" i="33"/>
  <c r="L20" i="33"/>
  <c r="L19" i="33"/>
  <c r="M19" i="33"/>
  <c r="M18" i="33"/>
  <c r="M7" i="33"/>
  <c r="L18" i="33"/>
  <c r="L9" i="36"/>
  <c r="M8" i="35"/>
  <c r="M11" i="35"/>
  <c r="L9" i="35"/>
  <c r="L12" i="35"/>
  <c r="L31" i="35"/>
  <c r="M27" i="36"/>
  <c r="M9" i="36"/>
  <c r="L10" i="36"/>
  <c r="M7" i="36"/>
  <c r="L27" i="36"/>
  <c r="L8" i="36"/>
  <c r="M10" i="36"/>
  <c r="M31" i="36"/>
  <c r="L11" i="36"/>
  <c r="M8" i="36"/>
  <c r="L31" i="36"/>
  <c r="M11" i="36"/>
  <c r="L31" i="33"/>
  <c r="L7" i="33"/>
  <c r="M9" i="33"/>
  <c r="L11" i="33"/>
  <c r="L13" i="33"/>
  <c r="M31" i="35"/>
  <c r="M13" i="33"/>
  <c r="M17" i="33"/>
  <c r="L17" i="33"/>
  <c r="L15" i="35"/>
  <c r="L7" i="35"/>
  <c r="M15" i="35"/>
  <c r="L7" i="36"/>
  <c r="L8" i="33"/>
  <c r="L10" i="33"/>
  <c r="M26" i="33"/>
  <c r="M12" i="33"/>
  <c r="M12" i="35"/>
  <c r="L8" i="35"/>
  <c r="M27" i="35"/>
  <c r="L14" i="35"/>
  <c r="M15" i="33"/>
  <c r="L16" i="33"/>
  <c r="M14" i="33"/>
  <c r="L10" i="35"/>
  <c r="M14" i="35"/>
  <c r="M16" i="35"/>
  <c r="M31" i="30"/>
  <c r="L27" i="30"/>
  <c r="M13" i="35"/>
  <c r="L13" i="35"/>
  <c r="L27" i="35"/>
  <c r="L16" i="35"/>
  <c r="M9" i="35"/>
  <c r="L11" i="35"/>
  <c r="M7" i="35"/>
  <c r="M10" i="35"/>
  <c r="M10" i="33"/>
  <c r="M31" i="33"/>
  <c r="M8" i="32"/>
  <c r="M16" i="33"/>
  <c r="M11" i="33"/>
  <c r="L14" i="33"/>
  <c r="L9" i="33"/>
  <c r="L15" i="33"/>
  <c r="M8" i="33"/>
  <c r="L12" i="33"/>
  <c r="M10" i="32"/>
  <c r="L9" i="32"/>
  <c r="L26" i="33"/>
  <c r="L7" i="32"/>
  <c r="L10" i="32"/>
  <c r="M9" i="32"/>
  <c r="L31" i="32"/>
  <c r="L8" i="32"/>
  <c r="L27" i="33"/>
  <c r="M27" i="33"/>
  <c r="L11" i="32"/>
  <c r="L27" i="32"/>
  <c r="M11" i="32"/>
  <c r="M27" i="32"/>
  <c r="M31" i="32"/>
  <c r="M13" i="30"/>
  <c r="L15" i="30"/>
  <c r="M10" i="30"/>
  <c r="M27" i="30"/>
  <c r="M11" i="30"/>
  <c r="L11" i="30"/>
  <c r="M14" i="30"/>
  <c r="L12" i="30"/>
  <c r="L8" i="30"/>
  <c r="M7" i="30"/>
  <c r="L13" i="30"/>
  <c r="L7" i="30"/>
  <c r="M9" i="30"/>
  <c r="M12" i="30"/>
  <c r="M16" i="30"/>
  <c r="M8" i="30"/>
  <c r="L31" i="30"/>
  <c r="L9" i="30"/>
  <c r="M15" i="30"/>
  <c r="L10" i="30"/>
  <c r="L16" i="30"/>
  <c r="L14" i="30"/>
  <c r="G37" i="19" l="1"/>
  <c r="D28" i="19" l="1"/>
  <c r="L5" i="20" l="1"/>
  <c r="F37" i="19" l="1"/>
  <c r="D29" i="19" l="1"/>
  <c r="Q7" i="20" l="1"/>
  <c r="Q8" i="20"/>
  <c r="R8" i="20"/>
  <c r="Q9" i="20"/>
  <c r="R9" i="20"/>
  <c r="Q10" i="20"/>
  <c r="R10" i="20"/>
  <c r="Q11" i="20"/>
  <c r="R11" i="20"/>
  <c r="Q12" i="20"/>
  <c r="Q13" i="20"/>
  <c r="R13" i="20"/>
  <c r="Q14" i="20"/>
  <c r="R14" i="20"/>
  <c r="Q15" i="20"/>
  <c r="R15" i="20"/>
  <c r="Q16" i="20"/>
  <c r="R16" i="20"/>
  <c r="Q17" i="20"/>
  <c r="R17" i="20"/>
  <c r="Q18" i="20"/>
  <c r="R18" i="20"/>
  <c r="R6" i="20"/>
  <c r="Q6" i="20"/>
  <c r="Y2" i="2"/>
  <c r="U15" i="19"/>
  <c r="R34" i="19"/>
  <c r="K23" i="27"/>
  <c r="K14" i="27"/>
  <c r="V31" i="27"/>
  <c r="U31" i="27"/>
  <c r="T31" i="27"/>
  <c r="V30" i="27"/>
  <c r="U30" i="27"/>
  <c r="T30" i="27"/>
  <c r="V29" i="27"/>
  <c r="U29" i="27"/>
  <c r="T29" i="27"/>
  <c r="V28" i="27"/>
  <c r="U28" i="27"/>
  <c r="T28" i="27"/>
  <c r="V27" i="27"/>
  <c r="U27" i="27"/>
  <c r="T27" i="27"/>
  <c r="V26" i="27"/>
  <c r="U26" i="27"/>
  <c r="T26" i="27"/>
  <c r="V25" i="27"/>
  <c r="U25" i="27"/>
  <c r="T25" i="27"/>
  <c r="V24" i="27"/>
  <c r="U24" i="27"/>
  <c r="T24" i="27"/>
  <c r="V23" i="27"/>
  <c r="U23" i="27"/>
  <c r="T23" i="27"/>
  <c r="V22" i="27"/>
  <c r="U22" i="27"/>
  <c r="T22" i="27"/>
  <c r="V21" i="27"/>
  <c r="U21" i="27"/>
  <c r="T21" i="27"/>
  <c r="V20" i="27"/>
  <c r="U20" i="27"/>
  <c r="T20" i="27"/>
  <c r="V19" i="27"/>
  <c r="U19" i="27"/>
  <c r="T19" i="27"/>
  <c r="V18" i="27"/>
  <c r="U18" i="27"/>
  <c r="T18" i="27"/>
  <c r="V17" i="27"/>
  <c r="U17" i="27"/>
  <c r="T17" i="27"/>
  <c r="V16" i="27"/>
  <c r="U16" i="27"/>
  <c r="T16" i="27"/>
  <c r="V15" i="27"/>
  <c r="U15" i="27"/>
  <c r="T15" i="27"/>
  <c r="V14" i="27"/>
  <c r="U14" i="27"/>
  <c r="T14" i="27"/>
  <c r="V13" i="27"/>
  <c r="U13" i="27"/>
  <c r="T13" i="27"/>
  <c r="V12" i="27"/>
  <c r="U12" i="27"/>
  <c r="T12" i="27"/>
  <c r="V11" i="27"/>
  <c r="U11" i="27"/>
  <c r="T11" i="27"/>
  <c r="V10" i="27"/>
  <c r="U10" i="27"/>
  <c r="T10" i="27"/>
  <c r="V9" i="27"/>
  <c r="U9" i="27"/>
  <c r="T9" i="27"/>
  <c r="V8" i="27"/>
  <c r="U8" i="27"/>
  <c r="T8" i="27"/>
  <c r="V7" i="27"/>
  <c r="U7" i="27"/>
  <c r="T7" i="27"/>
  <c r="Y36" i="19"/>
  <c r="D36" i="19"/>
  <c r="D35" i="19"/>
  <c r="D34" i="19"/>
  <c r="U31" i="19"/>
  <c r="U30" i="19"/>
  <c r="U23" i="19"/>
  <c r="B5" i="20"/>
  <c r="I37" i="19"/>
  <c r="H31" i="27"/>
  <c r="H27" i="27"/>
  <c r="H10" i="27"/>
  <c r="H7" i="27"/>
  <c r="H11" i="27"/>
  <c r="H9" i="27"/>
  <c r="N9" i="27" s="1"/>
  <c r="H8" i="27"/>
  <c r="N8" i="27" s="1"/>
  <c r="AD37" i="19"/>
  <c r="AC37" i="19"/>
  <c r="AB37" i="19"/>
  <c r="AA37" i="19"/>
  <c r="Z37" i="19"/>
  <c r="U11" i="19"/>
  <c r="U17" i="19"/>
  <c r="U22" i="19"/>
  <c r="U28" i="19"/>
  <c r="U19" i="19"/>
  <c r="U18" i="19"/>
  <c r="U14" i="19"/>
  <c r="U9" i="19"/>
  <c r="U7" i="19"/>
  <c r="U13" i="19"/>
  <c r="U21" i="19"/>
  <c r="U20" i="19"/>
  <c r="U27" i="19"/>
  <c r="U16" i="19"/>
  <c r="U29" i="19"/>
  <c r="U12" i="19"/>
  <c r="U24" i="19"/>
  <c r="U25" i="19"/>
  <c r="U26" i="19"/>
  <c r="U10" i="19"/>
  <c r="Z10" i="2"/>
  <c r="P12" i="20" s="1"/>
  <c r="Z5" i="2"/>
  <c r="P7" i="20" s="1"/>
  <c r="Z6" i="2"/>
  <c r="P8" i="20" s="1"/>
  <c r="Z7" i="2"/>
  <c r="P9" i="20" s="1"/>
  <c r="Z8" i="2"/>
  <c r="P10" i="20" s="1"/>
  <c r="Z9" i="2"/>
  <c r="P11" i="20" s="1"/>
  <c r="Z11" i="2"/>
  <c r="P13" i="20" s="1"/>
  <c r="Z12" i="2"/>
  <c r="P14" i="20" s="1"/>
  <c r="Z13" i="2"/>
  <c r="P15" i="20" s="1"/>
  <c r="Z14" i="2"/>
  <c r="P16" i="20" s="1"/>
  <c r="Z15" i="2"/>
  <c r="P17" i="20" s="1"/>
  <c r="Z16" i="2"/>
  <c r="P18" i="20" s="1"/>
  <c r="Z4" i="2"/>
  <c r="P6" i="20" s="1"/>
  <c r="Y5" i="2"/>
  <c r="D4" i="20" s="1"/>
  <c r="Y6" i="2"/>
  <c r="F4" i="20" s="1"/>
  <c r="Y7" i="2"/>
  <c r="H4" i="20" s="1"/>
  <c r="Y8" i="2"/>
  <c r="J4" i="20" s="1"/>
  <c r="Y9" i="2"/>
  <c r="L4" i="20" s="1"/>
  <c r="Y10" i="2"/>
  <c r="B19" i="20" s="1"/>
  <c r="Y11" i="2"/>
  <c r="D19" i="20" s="1"/>
  <c r="Y12" i="2"/>
  <c r="Y13" i="2"/>
  <c r="F19" i="20" s="1"/>
  <c r="Y14" i="2"/>
  <c r="H19" i="20" s="1"/>
  <c r="Y15" i="2"/>
  <c r="J19" i="20" s="1"/>
  <c r="Y16" i="2"/>
  <c r="L19" i="20" s="1"/>
  <c r="Y4" i="2"/>
  <c r="B4" i="20" s="1"/>
  <c r="R40" i="19"/>
  <c r="R39" i="19"/>
  <c r="H37" i="19"/>
  <c r="L20" i="20"/>
  <c r="J20" i="20"/>
  <c r="H20" i="20"/>
  <c r="D20" i="20"/>
  <c r="B20" i="20"/>
  <c r="J5" i="20"/>
  <c r="H5" i="20"/>
  <c r="F5" i="20"/>
  <c r="D5" i="20"/>
  <c r="D27" i="19"/>
  <c r="D32" i="19"/>
  <c r="D33" i="19"/>
  <c r="D30" i="19"/>
  <c r="D31" i="19"/>
  <c r="E13" i="27" l="1"/>
  <c r="K16" i="27"/>
  <c r="K13" i="27"/>
  <c r="E15" i="27"/>
  <c r="E16" i="27"/>
  <c r="E17" i="27"/>
  <c r="E19" i="27"/>
  <c r="K21" i="27"/>
  <c r="E14" i="27"/>
  <c r="K19" i="27"/>
  <c r="K18" i="27"/>
  <c r="K15" i="27"/>
  <c r="E12" i="27"/>
  <c r="K22" i="27"/>
  <c r="E23" i="27"/>
  <c r="K17" i="27"/>
  <c r="E18" i="27"/>
  <c r="K20" i="27"/>
  <c r="K12" i="27"/>
  <c r="E22" i="27"/>
  <c r="E21" i="27"/>
  <c r="E20" i="27"/>
  <c r="E10" i="27"/>
  <c r="E8" i="27"/>
  <c r="E11" i="27"/>
  <c r="E9" i="27"/>
  <c r="E7" i="27"/>
  <c r="E7" i="19"/>
  <c r="K31" i="27"/>
  <c r="K10" i="27"/>
  <c r="N27" i="27"/>
  <c r="N31" i="27"/>
  <c r="N11" i="27"/>
  <c r="K27" i="27"/>
  <c r="N10" i="27"/>
  <c r="N7" i="27"/>
  <c r="K8" i="27"/>
  <c r="N12" i="27"/>
  <c r="N15" i="27"/>
  <c r="K9" i="27"/>
  <c r="K7" i="27"/>
  <c r="K11" i="27"/>
  <c r="K7" i="19" l="1"/>
  <c r="U8" i="19" s="1"/>
  <c r="E37" i="19"/>
  <c r="L18" i="27"/>
  <c r="M8" i="27"/>
  <c r="L22" i="27"/>
  <c r="L17" i="27"/>
  <c r="M22" i="27"/>
  <c r="M9" i="27"/>
  <c r="M17" i="27"/>
  <c r="L13" i="27"/>
  <c r="L9" i="27"/>
  <c r="L20" i="27"/>
  <c r="M13" i="27"/>
  <c r="M20" i="27"/>
  <c r="L8" i="27"/>
  <c r="M18" i="27"/>
  <c r="M19" i="27"/>
  <c r="L16" i="27"/>
  <c r="L19" i="27"/>
  <c r="M16" i="27"/>
  <c r="M14" i="27"/>
  <c r="L14" i="27"/>
  <c r="M21" i="27"/>
  <c r="L21" i="27"/>
  <c r="M23" i="27"/>
  <c r="L23" i="27"/>
  <c r="L15" i="27"/>
  <c r="M15" i="27"/>
  <c r="M12" i="27"/>
  <c r="L12" i="27"/>
  <c r="M7" i="27"/>
  <c r="M11" i="27"/>
  <c r="M10" i="27"/>
  <c r="L31" i="27"/>
  <c r="L27" i="27"/>
  <c r="L10" i="27"/>
  <c r="L11" i="27"/>
  <c r="M31" i="27"/>
  <c r="M27" i="27"/>
  <c r="L7" i="27"/>
</calcChain>
</file>

<file path=xl/sharedStrings.xml><?xml version="1.0" encoding="utf-8"?>
<sst xmlns="http://schemas.openxmlformats.org/spreadsheetml/2006/main" count="1320" uniqueCount="318">
  <si>
    <t>参加数</t>
  </si>
  <si>
    <t xml:space="preserve"> 艇 </t>
  </si>
  <si>
    <t>ＴＡのリスト（参照用）</t>
    <rPh sb="7" eb="10">
      <t>サンショウヨウ</t>
    </rPh>
    <phoneticPr fontId="6"/>
  </si>
  <si>
    <t>順位</t>
  </si>
  <si>
    <t>SAIL</t>
  </si>
  <si>
    <t>艇　　名</t>
  </si>
  <si>
    <t>R</t>
  </si>
  <si>
    <t>着順</t>
  </si>
  <si>
    <t>着時間</t>
  </si>
  <si>
    <t>ET</t>
  </si>
  <si>
    <t>TA</t>
    <phoneticPr fontId="6"/>
  </si>
  <si>
    <t>PN</t>
  </si>
  <si>
    <t>ＣＴ</t>
  </si>
  <si>
    <t>得点</t>
  </si>
  <si>
    <t>NO.</t>
  </si>
  <si>
    <t xml:space="preserve">m </t>
  </si>
  <si>
    <t>H：M：S</t>
  </si>
  <si>
    <t xml:space="preserve">S </t>
  </si>
  <si>
    <t xml:space="preserve">% </t>
  </si>
  <si>
    <t xml:space="preserve">Kt </t>
  </si>
  <si>
    <t>Ⅰ</t>
    <phoneticPr fontId="6"/>
  </si>
  <si>
    <t>Ⅲ</t>
    <phoneticPr fontId="6"/>
  </si>
  <si>
    <t>Ⅱ</t>
    <phoneticPr fontId="6"/>
  </si>
  <si>
    <t>ふるたか</t>
  </si>
  <si>
    <t>サ－モン4</t>
  </si>
  <si>
    <t>はやとり</t>
  </si>
  <si>
    <t>かまくら</t>
  </si>
  <si>
    <t>衣笠</t>
  </si>
  <si>
    <t>くろしお</t>
  </si>
  <si>
    <t>アイデアル</t>
  </si>
  <si>
    <t>未央</t>
  </si>
  <si>
    <t>S/NM</t>
    <phoneticPr fontId="5"/>
  </si>
  <si>
    <t>初島</t>
    <rPh sb="0" eb="2">
      <t>ハツシマ</t>
    </rPh>
    <phoneticPr fontId="6"/>
  </si>
  <si>
    <t>コース</t>
    <phoneticPr fontId="5"/>
  </si>
  <si>
    <t>月</t>
    <rPh sb="0" eb="1">
      <t>ツキ</t>
    </rPh>
    <phoneticPr fontId="5"/>
  </si>
  <si>
    <t>スタート</t>
    <phoneticPr fontId="5"/>
  </si>
  <si>
    <t xml:space="preserve"> (暫定) </t>
  </si>
  <si>
    <t>レース番号</t>
    <rPh sb="3" eb="5">
      <t>バンゴウ</t>
    </rPh>
    <phoneticPr fontId="5"/>
  </si>
  <si>
    <t>暫定版</t>
    <rPh sb="0" eb="2">
      <t>ザンテイ</t>
    </rPh>
    <rPh sb="2" eb="3">
      <t>ハン</t>
    </rPh>
    <phoneticPr fontId="5"/>
  </si>
  <si>
    <t>開催年</t>
    <rPh sb="0" eb="2">
      <t>カイサイ</t>
    </rPh>
    <rPh sb="2" eb="3">
      <t>ネン</t>
    </rPh>
    <phoneticPr fontId="5"/>
  </si>
  <si>
    <t>年</t>
    <rPh sb="0" eb="1">
      <t>ネン</t>
    </rPh>
    <phoneticPr fontId="5"/>
  </si>
  <si>
    <t>開催月</t>
    <rPh sb="0" eb="2">
      <t>カイサイ</t>
    </rPh>
    <rPh sb="2" eb="3">
      <t>ツキ</t>
    </rPh>
    <phoneticPr fontId="5"/>
  </si>
  <si>
    <t>レース番号</t>
    <rPh sb="3" eb="5">
      <t>バンゴウ</t>
    </rPh>
    <phoneticPr fontId="5"/>
  </si>
  <si>
    <t>熱海</t>
    <rPh sb="0" eb="2">
      <t>アタミ</t>
    </rPh>
    <phoneticPr fontId="6"/>
  </si>
  <si>
    <t>レース名</t>
    <rPh sb="3" eb="4">
      <t>メイ</t>
    </rPh>
    <phoneticPr fontId="5"/>
  </si>
  <si>
    <t>小網代フリートレース</t>
    <rPh sb="0" eb="1">
      <t>コ</t>
    </rPh>
    <rPh sb="1" eb="3">
      <t>アジロ</t>
    </rPh>
    <phoneticPr fontId="5"/>
  </si>
  <si>
    <t>ＴＡ</t>
    <phoneticPr fontId="5"/>
  </si>
  <si>
    <t>ＴＡ</t>
    <phoneticPr fontId="5"/>
  </si>
  <si>
    <t>Ⅰ</t>
    <phoneticPr fontId="5"/>
  </si>
  <si>
    <t>Ⅱ</t>
    <phoneticPr fontId="5"/>
  </si>
  <si>
    <t>Ⅲ</t>
    <phoneticPr fontId="5"/>
  </si>
  <si>
    <t>記  事</t>
    <phoneticPr fontId="5"/>
  </si>
  <si>
    <t>艇速</t>
    <rPh sb="0" eb="1">
      <t>テイ</t>
    </rPh>
    <rPh sb="1" eb="2">
      <t>ソク</t>
    </rPh>
    <phoneticPr fontId="5"/>
  </si>
  <si>
    <t>時刻</t>
    <rPh sb="0" eb="2">
      <t>ジコク</t>
    </rPh>
    <phoneticPr fontId="5"/>
  </si>
  <si>
    <t>コース・距離</t>
    <rPh sb="4" eb="6">
      <t>キョリ</t>
    </rPh>
    <phoneticPr fontId="5"/>
  </si>
  <si>
    <t>Ｅ</t>
  </si>
  <si>
    <t>距離(NM)</t>
    <rPh sb="0" eb="2">
      <t>キョリ</t>
    </rPh>
    <phoneticPr fontId="5"/>
  </si>
  <si>
    <t>得点（参照用）</t>
    <rPh sb="0" eb="2">
      <t>トクテン</t>
    </rPh>
    <rPh sb="3" eb="6">
      <t>サンショウヨウ</t>
    </rPh>
    <phoneticPr fontId="5"/>
  </si>
  <si>
    <t>得点</t>
    <rPh sb="0" eb="2">
      <t>トクテン</t>
    </rPh>
    <phoneticPr fontId="5"/>
  </si>
  <si>
    <t>MAX=20</t>
    <phoneticPr fontId="5"/>
  </si>
  <si>
    <t>MAX=30</t>
    <phoneticPr fontId="5"/>
  </si>
  <si>
    <t>MAX=40</t>
    <phoneticPr fontId="5"/>
  </si>
  <si>
    <t>MAX=40</t>
    <phoneticPr fontId="5"/>
  </si>
  <si>
    <t>開催日</t>
    <rPh sb="0" eb="3">
      <t>カイサイビ</t>
    </rPh>
    <phoneticPr fontId="5"/>
  </si>
  <si>
    <t>距離</t>
    <rPh sb="0" eb="2">
      <t>キョリ</t>
    </rPh>
    <phoneticPr fontId="5"/>
  </si>
  <si>
    <t xml:space="preserve"> (確定) </t>
    <rPh sb="2" eb="4">
      <t>カクテイ</t>
    </rPh>
    <phoneticPr fontId="5"/>
  </si>
  <si>
    <t>コース</t>
  </si>
  <si>
    <t/>
  </si>
  <si>
    <t>SAIL　No.</t>
  </si>
  <si>
    <t>艇　名</t>
  </si>
  <si>
    <t>得点計</t>
  </si>
  <si>
    <t>皆勤賞</t>
    <rPh sb="0" eb="3">
      <t>カイキンショウ</t>
    </rPh>
    <phoneticPr fontId="6"/>
  </si>
  <si>
    <t>参加賞</t>
    <rPh sb="0" eb="3">
      <t>サンカショウ</t>
    </rPh>
    <phoneticPr fontId="6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</si>
  <si>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</si>
  <si>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</si>
  <si>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</si>
  <si>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</si>
  <si>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</si>
  <si>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</si>
  <si>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</si>
  <si>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</si>
  <si>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</si>
  <si>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</si>
  <si>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</si>
  <si>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</si>
  <si>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</si>
  <si>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</si>
  <si>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</si>
  <si>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</si>
  <si>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</si>
  <si>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</si>
  <si>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</si>
  <si>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</si>
  <si>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</si>
  <si>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</si>
  <si>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</si>
  <si>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</si>
  <si>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</si>
  <si>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レース参加艇数</t>
    <rPh sb="3" eb="5">
      <t>サンカ</t>
    </rPh>
    <rPh sb="5" eb="6">
      <t>テイ</t>
    </rPh>
    <rPh sb="6" eb="7">
      <t>スウ</t>
    </rPh>
    <phoneticPr fontId="6"/>
  </si>
  <si>
    <t>　優 勝 盾　</t>
  </si>
  <si>
    <t>1</t>
    <phoneticPr fontId="6"/>
  </si>
  <si>
    <t>5</t>
    <phoneticPr fontId="6"/>
  </si>
  <si>
    <t>11</t>
    <phoneticPr fontId="6"/>
  </si>
  <si>
    <t>12</t>
    <phoneticPr fontId="6"/>
  </si>
  <si>
    <t>20</t>
    <phoneticPr fontId="6"/>
  </si>
  <si>
    <t>Cはコミッティ担当、Bはコミッティボート提供。</t>
    <phoneticPr fontId="6"/>
  </si>
  <si>
    <t xml:space="preserve">　皆 勤 賞    </t>
    <phoneticPr fontId="6"/>
  </si>
  <si>
    <t xml:space="preserve">　参 加 賞  </t>
    <phoneticPr fontId="6"/>
  </si>
  <si>
    <t>小網代フリートレース　コミッティポイント</t>
    <phoneticPr fontId="6"/>
  </si>
  <si>
    <t>担当者名</t>
    <rPh sb="0" eb="2">
      <t>タントウ</t>
    </rPh>
    <rPh sb="2" eb="3">
      <t>シャ</t>
    </rPh>
    <rPh sb="3" eb="4">
      <t>メイ</t>
    </rPh>
    <phoneticPr fontId="6"/>
  </si>
  <si>
    <t>敬称略</t>
    <rPh sb="0" eb="2">
      <t>ケイショウ</t>
    </rPh>
    <rPh sb="2" eb="3">
      <t>リャク</t>
    </rPh>
    <phoneticPr fontId="6"/>
  </si>
  <si>
    <t>本部艇</t>
    <rPh sb="0" eb="2">
      <t>ホンブ</t>
    </rPh>
    <rPh sb="2" eb="3">
      <t>テイ</t>
    </rPh>
    <phoneticPr fontId="6"/>
  </si>
  <si>
    <t>Kマーク担当</t>
    <rPh sb="4" eb="6">
      <t>タントウ</t>
    </rPh>
    <phoneticPr fontId="6"/>
  </si>
  <si>
    <t>26</t>
  </si>
  <si>
    <t>27</t>
  </si>
  <si>
    <t>28</t>
  </si>
  <si>
    <t>29</t>
  </si>
  <si>
    <t>30</t>
  </si>
  <si>
    <t>KFR開催</t>
    <rPh sb="3" eb="5">
      <t>カイサイ</t>
    </rPh>
    <phoneticPr fontId="6"/>
  </si>
  <si>
    <t>日程</t>
  </si>
  <si>
    <t>Aマーク担当</t>
  </si>
  <si>
    <t>スタート</t>
    <phoneticPr fontId="6"/>
  </si>
  <si>
    <t>ケロニア</t>
  </si>
  <si>
    <t>注２）</t>
  </si>
  <si>
    <t>熱海ランデブーレース　</t>
  </si>
  <si>
    <t>ナジャ</t>
  </si>
  <si>
    <t>テティス</t>
  </si>
  <si>
    <t>HAURAKI</t>
  </si>
  <si>
    <t>Bitter End</t>
  </si>
  <si>
    <t>BASIC</t>
  </si>
  <si>
    <t>INDICUM</t>
  </si>
  <si>
    <t>　</t>
    <phoneticPr fontId="5"/>
  </si>
  <si>
    <t>後期</t>
    <rPh sb="0" eb="2">
      <t>コウキ</t>
    </rPh>
    <phoneticPr fontId="5"/>
  </si>
  <si>
    <t>得点計</t>
    <phoneticPr fontId="5"/>
  </si>
  <si>
    <t>年間得点計</t>
    <rPh sb="0" eb="2">
      <t>ネンカン</t>
    </rPh>
    <phoneticPr fontId="5"/>
  </si>
  <si>
    <t>小網代ヨットクラブ レース委員会</t>
    <rPh sb="0" eb="1">
      <t>コ</t>
    </rPh>
    <rPh sb="1" eb="3">
      <t>アジロ</t>
    </rPh>
    <rPh sb="13" eb="16">
      <t>イインカイ</t>
    </rPh>
    <phoneticPr fontId="5"/>
  </si>
  <si>
    <t>実施日</t>
    <rPh sb="0" eb="2">
      <t>ジッシ</t>
    </rPh>
    <rPh sb="2" eb="3">
      <t>ビ</t>
    </rPh>
    <phoneticPr fontId="21"/>
  </si>
  <si>
    <t>本部艇</t>
    <rPh sb="0" eb="2">
      <t>ホンブ</t>
    </rPh>
    <rPh sb="2" eb="3">
      <t>テイ</t>
    </rPh>
    <phoneticPr fontId="5"/>
  </si>
  <si>
    <t>マーク担当</t>
    <rPh sb="3" eb="5">
      <t>タントウ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</si>
  <si>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</si>
  <si>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</si>
  <si>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</si>
  <si>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</si>
  <si>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</si>
  <si>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</si>
  <si>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</si>
  <si>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</si>
  <si>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</si>
  <si>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</si>
  <si>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</si>
  <si>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</si>
  <si>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風速：xxxノット
風向：　
天気：
◇ｺﾐｯﾃｨ：</t>
    <phoneticPr fontId="5"/>
  </si>
  <si>
    <t>風向：　</t>
    <phoneticPr fontId="5"/>
  </si>
  <si>
    <t>天気：</t>
    <phoneticPr fontId="5"/>
  </si>
  <si>
    <t>次回
2015年８月16日 
◇ｺﾐｯﾃｨ：くろしお</t>
    <phoneticPr fontId="5"/>
  </si>
  <si>
    <t>ｺﾐｯﾃｨ：</t>
    <phoneticPr fontId="5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</si>
  <si>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</si>
  <si>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</si>
  <si>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</si>
  <si>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</si>
  <si>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</si>
  <si>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</si>
  <si>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</si>
  <si>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</si>
  <si>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</si>
  <si>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</si>
  <si>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</si>
  <si>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ｺｰｽ：</t>
    <phoneticPr fontId="5"/>
  </si>
  <si>
    <t>E</t>
    <phoneticPr fontId="5"/>
  </si>
  <si>
    <t>　ステンドグラス楯</t>
    <phoneticPr fontId="5"/>
  </si>
  <si>
    <t xml:space="preserve">　各月トップ賞  </t>
    <rPh sb="1" eb="2">
      <t>カク</t>
    </rPh>
    <rPh sb="2" eb="3">
      <t>ツキ</t>
    </rPh>
    <phoneticPr fontId="6"/>
  </si>
  <si>
    <t>（半期全回出場した艇）</t>
    <phoneticPr fontId="5"/>
  </si>
  <si>
    <t>（半期2回以上出場した艇）</t>
    <phoneticPr fontId="5"/>
  </si>
  <si>
    <t>HAYATE</t>
  </si>
  <si>
    <t>SHARK X</t>
  </si>
  <si>
    <t>桜工</t>
  </si>
  <si>
    <t xml:space="preserve"> </t>
    <phoneticPr fontId="5"/>
  </si>
  <si>
    <t>レース参加艇数</t>
    <rPh sb="3" eb="5">
      <t>サンカ</t>
    </rPh>
    <rPh sb="5" eb="6">
      <t>テイ</t>
    </rPh>
    <rPh sb="6" eb="7">
      <t>スウ</t>
    </rPh>
    <phoneticPr fontId="5"/>
  </si>
  <si>
    <t>艇　名</t>
    <rPh sb="0" eb="1">
      <t>テイ</t>
    </rPh>
    <rPh sb="2" eb="3">
      <t>ナ</t>
    </rPh>
    <phoneticPr fontId="5"/>
  </si>
  <si>
    <t>EBB TIDE</t>
  </si>
  <si>
    <t>Ⅱ</t>
  </si>
  <si>
    <t xml:space="preserve"> 秒/ﾏｲﾙ</t>
  </si>
  <si>
    <t>RATING</t>
    <phoneticPr fontId="5"/>
  </si>
  <si>
    <t>H</t>
  </si>
  <si>
    <t>H</t>
    <phoneticPr fontId="5"/>
  </si>
  <si>
    <t>J</t>
    <phoneticPr fontId="5"/>
  </si>
  <si>
    <t>K</t>
    <phoneticPr fontId="5"/>
  </si>
  <si>
    <t>初島</t>
    <rPh sb="0" eb="2">
      <t>ハツシマ</t>
    </rPh>
    <phoneticPr fontId="5"/>
  </si>
  <si>
    <t>リミット</t>
    <phoneticPr fontId="5"/>
  </si>
  <si>
    <r>
      <rPr>
        <b/>
        <sz val="11"/>
        <rFont val="HGSｺﾞｼｯｸM"/>
        <family val="3"/>
        <charset val="128"/>
      </rPr>
      <t>ﾄｯﾌ</t>
    </r>
    <r>
      <rPr>
        <b/>
        <sz val="10"/>
        <rFont val="HGSｺﾞｼｯｸM"/>
        <family val="3"/>
        <charset val="128"/>
      </rPr>
      <t>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6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</si>
  <si>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6"/>
  </si>
  <si>
    <r>
      <rPr>
        <sz val="12"/>
        <rFont val="HGSｺﾞｼｯｸM"/>
        <family val="3"/>
        <charset val="128"/>
      </rPr>
      <t xml:space="preserve"> 得点=20(N＋1‐J)/N</t>
    </r>
    <r>
      <rPr>
        <sz val="11"/>
        <rFont val="HGSｺﾞｼｯｸM"/>
        <family val="3"/>
        <charset val="128"/>
      </rPr>
      <t xml:space="preserve">
</t>
    </r>
    <r>
      <rPr>
        <sz val="10"/>
        <rFont val="HGSｺﾞｼｯｸM"/>
        <family val="3"/>
        <charset val="128"/>
      </rPr>
      <t xml:space="preserve"> N:参加艇数　 J:順位　
 DコースおよびＦコースは上記の1.5倍,DNS,DNF等は1点,DSQは0点</t>
    </r>
    <r>
      <rPr>
        <sz val="11"/>
        <rFont val="HGSｺﾞｼｯｸM"/>
        <family val="3"/>
        <charset val="128"/>
      </rPr>
      <t xml:space="preserve">
 </t>
    </r>
    <r>
      <rPr>
        <sz val="12"/>
        <rFont val="HGSｺﾞｼｯｸM"/>
        <family val="3"/>
        <charset val="128"/>
      </rPr>
      <t xml:space="preserve">初島レースの得点
      =30(N-J)/(N-1)+10
 </t>
    </r>
    <r>
      <rPr>
        <sz val="10"/>
        <rFont val="HGSｺﾞｼｯｸM"/>
        <family val="3"/>
        <charset val="128"/>
      </rPr>
      <t>月例の2倍,最下位艇10点,DNF5点</t>
    </r>
    <rPh sb="78" eb="80">
      <t>トクテン</t>
    </rPh>
    <phoneticPr fontId="6"/>
  </si>
  <si>
    <r>
      <rPr>
        <b/>
        <sz val="11"/>
        <rFont val="HGSｺﾞｼｯｸM"/>
        <family val="3"/>
        <charset val="128"/>
      </rPr>
      <t>ﾄｯﾌﾟ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6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</si>
  <si>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6"/>
  </si>
  <si>
    <t>KFRランデブーレース</t>
    <phoneticPr fontId="5"/>
  </si>
  <si>
    <t>KFRランデブー</t>
    <phoneticPr fontId="5"/>
  </si>
  <si>
    <t>合同</t>
    <rPh sb="0" eb="2">
      <t>ゴウドウ</t>
    </rPh>
    <phoneticPr fontId="5"/>
  </si>
  <si>
    <t>仰秀</t>
  </si>
  <si>
    <t>スタート時間表
による</t>
    <rPh sb="4" eb="6">
      <t>ジカン</t>
    </rPh>
    <rPh sb="6" eb="7">
      <t>ヒョウ</t>
    </rPh>
    <phoneticPr fontId="5"/>
  </si>
  <si>
    <t>香</t>
  </si>
  <si>
    <t>G</t>
    <phoneticPr fontId="5"/>
  </si>
  <si>
    <t>参考：次年度</t>
    <rPh sb="0" eb="2">
      <t>サンコウ</t>
    </rPh>
    <rPh sb="3" eb="6">
      <t>ジネンド</t>
    </rPh>
    <phoneticPr fontId="5"/>
  </si>
  <si>
    <t>F</t>
    <phoneticPr fontId="5"/>
  </si>
  <si>
    <t>M</t>
    <phoneticPr fontId="5"/>
  </si>
  <si>
    <t>1月</t>
    <rPh sb="1" eb="2">
      <t>ガツ</t>
    </rPh>
    <phoneticPr fontId="5"/>
  </si>
  <si>
    <t>MAX=25</t>
    <phoneticPr fontId="5"/>
  </si>
  <si>
    <t>MAX=15</t>
    <phoneticPr fontId="5"/>
  </si>
  <si>
    <t xml:space="preserve">  ～   kt</t>
    <phoneticPr fontId="5"/>
  </si>
  <si>
    <t xml:space="preserve">  ～ </t>
    <phoneticPr fontId="39"/>
  </si>
  <si>
    <t>未決定</t>
    <rPh sb="0" eb="3">
      <t>ミケッテイ</t>
    </rPh>
    <phoneticPr fontId="5"/>
  </si>
  <si>
    <t>ﾈﾌﾟﾁｭｰﾝXⅡ</t>
  </si>
  <si>
    <t>VITTORIA</t>
  </si>
  <si>
    <t>VEGA7</t>
  </si>
  <si>
    <t>,</t>
    <phoneticPr fontId="70"/>
  </si>
  <si>
    <t xml:space="preserve"> ～  kt</t>
    <phoneticPr fontId="5"/>
  </si>
  <si>
    <t xml:space="preserve"> ～ kt</t>
    <phoneticPr fontId="70"/>
  </si>
  <si>
    <t xml:space="preserve">   ～   kt</t>
    <phoneticPr fontId="5"/>
  </si>
  <si>
    <t xml:space="preserve">  ～</t>
    <phoneticPr fontId="39"/>
  </si>
  <si>
    <t xml:space="preserve">    ～    kt</t>
    <phoneticPr fontId="5"/>
  </si>
  <si>
    <t>飛車角</t>
  </si>
  <si>
    <t>VEGA8</t>
  </si>
  <si>
    <t>胡桃</t>
  </si>
  <si>
    <t>MELTEMI</t>
  </si>
  <si>
    <t>CYNTHIA Ⅳ</t>
  </si>
  <si>
    <t>＃598</t>
  </si>
  <si>
    <t xml:space="preserve">   ～  kt</t>
    <phoneticPr fontId="5"/>
  </si>
  <si>
    <t xml:space="preserve">   ～ </t>
    <phoneticPr fontId="39"/>
  </si>
  <si>
    <t xml:space="preserve">   /</t>
    <phoneticPr fontId="70"/>
  </si>
  <si>
    <t>G</t>
  </si>
  <si>
    <t>Ｄ</t>
  </si>
  <si>
    <t>D</t>
    <phoneticPr fontId="5"/>
  </si>
  <si>
    <t>SUNNY QUEEN</t>
  </si>
  <si>
    <t>Miss Emica</t>
  </si>
  <si>
    <t>飛車角</t>
    <rPh sb="0" eb="3">
      <t>ヒシャカク</t>
    </rPh>
    <phoneticPr fontId="5"/>
  </si>
  <si>
    <t>＃616</t>
  </si>
  <si>
    <t>＃617</t>
  </si>
  <si>
    <t>レース委員会　原　眞由彦</t>
    <rPh sb="3" eb="6">
      <t>イインカイ</t>
    </rPh>
    <rPh sb="7" eb="8">
      <t>ハラ</t>
    </rPh>
    <rPh sb="9" eb="12">
      <t>マユヒコ</t>
    </rPh>
    <phoneticPr fontId="6"/>
  </si>
  <si>
    <t>相模湾オープン合同</t>
    <rPh sb="0" eb="3">
      <t>サガミワン</t>
    </rPh>
    <rPh sb="7" eb="9">
      <t>ゴウドウ</t>
    </rPh>
    <phoneticPr fontId="5"/>
  </si>
  <si>
    <t>各艇のＴＡデータ</t>
    <rPh sb="0" eb="1">
      <t>カク</t>
    </rPh>
    <rPh sb="1" eb="2">
      <t>テイ</t>
    </rPh>
    <phoneticPr fontId="5"/>
  </si>
  <si>
    <t>SAIL No.</t>
    <phoneticPr fontId="5"/>
  </si>
  <si>
    <t>上
架</t>
    <rPh sb="0" eb="1">
      <t>ウエ</t>
    </rPh>
    <rPh sb="2" eb="3">
      <t>カ</t>
    </rPh>
    <phoneticPr fontId="5"/>
  </si>
  <si>
    <t>ランデブーレース</t>
    <phoneticPr fontId="70"/>
  </si>
  <si>
    <t>熱海ランデブーレース</t>
    <rPh sb="0" eb="2">
      <t>アタミ</t>
    </rPh>
    <phoneticPr fontId="70"/>
  </si>
  <si>
    <t xml:space="preserve">【レースコメント】
【レース委員会より】
</t>
    <rPh sb="18" eb="21">
      <t>イインカイ</t>
    </rPh>
    <phoneticPr fontId="5"/>
  </si>
  <si>
    <r>
      <rPr>
        <sz val="10"/>
        <rFont val="HGSｺﾞｼｯｸM"/>
        <family val="3"/>
        <charset val="128"/>
      </rPr>
      <t xml:space="preserve">【レースコメント】
</t>
    </r>
    <r>
      <rPr>
        <sz val="9"/>
        <rFont val="HGSｺﾞｼｯｸM"/>
        <family val="3"/>
        <charset val="128"/>
      </rPr>
      <t xml:space="preserve">
</t>
    </r>
    <r>
      <rPr>
        <sz val="12"/>
        <rFont val="HGSｺﾞｼｯｸM"/>
        <family val="3"/>
        <charset val="128"/>
      </rPr>
      <t xml:space="preserve">
【レース委員会より】
</t>
    </r>
    <phoneticPr fontId="5"/>
  </si>
  <si>
    <r>
      <rPr>
        <sz val="10"/>
        <rFont val="HGSｺﾞｼｯｸM"/>
        <family val="3"/>
        <charset val="128"/>
      </rPr>
      <t xml:space="preserve">【レースコメント】
【レース委員会より】
</t>
    </r>
    <r>
      <rPr>
        <sz val="12"/>
        <rFont val="HGSｺﾞｼｯｸM"/>
        <family val="3"/>
        <charset val="128"/>
      </rPr>
      <t xml:space="preserve">
</t>
    </r>
    <rPh sb="17" eb="20">
      <t>イインカイ</t>
    </rPh>
    <phoneticPr fontId="5"/>
  </si>
  <si>
    <r>
      <rPr>
        <sz val="10"/>
        <rFont val="HGSｺﾞｼｯｸM"/>
        <family val="3"/>
        <charset val="128"/>
      </rPr>
      <t xml:space="preserve">【レースコメント】
【レース委員会より】
</t>
    </r>
    <r>
      <rPr>
        <sz val="12"/>
        <rFont val="HGSｺﾞｼｯｸM"/>
        <family val="3"/>
        <charset val="128"/>
      </rPr>
      <t xml:space="preserve">
</t>
    </r>
    <phoneticPr fontId="5"/>
  </si>
  <si>
    <t>【レースコメント】
【レース委員会より】</t>
    <phoneticPr fontId="5"/>
  </si>
  <si>
    <r>
      <rPr>
        <sz val="11"/>
        <rFont val="HGSｺﾞｼｯｸM"/>
        <family val="3"/>
        <charset val="128"/>
      </rPr>
      <t xml:space="preserve">【レースコメント】
【レース委員会より】
</t>
    </r>
    <r>
      <rPr>
        <sz val="12"/>
        <rFont val="HGSｺﾞｼｯｸM"/>
        <family val="3"/>
        <charset val="128"/>
      </rPr>
      <t xml:space="preserve">
</t>
    </r>
    <phoneticPr fontId="5"/>
  </si>
  <si>
    <t xml:space="preserve">【レースコメント】
【レース委員会より】
</t>
    <phoneticPr fontId="5"/>
  </si>
  <si>
    <t>IV</t>
    <phoneticPr fontId="6"/>
  </si>
  <si>
    <t>MAX=30</t>
    <phoneticPr fontId="39"/>
  </si>
  <si>
    <t>MAX=40</t>
    <phoneticPr fontId="39"/>
  </si>
  <si>
    <t>2026年</t>
    <rPh sb="4" eb="5">
      <t>ネン</t>
    </rPh>
    <phoneticPr fontId="5"/>
  </si>
  <si>
    <t>TAⅠ
～8kt</t>
  </si>
  <si>
    <t>TAⅡ
8～13kt</t>
  </si>
  <si>
    <t>TAⅢ
13～18kt</t>
  </si>
  <si>
    <t>TAⅣ
18kt～</t>
  </si>
  <si>
    <t>Hanamizuki</t>
  </si>
  <si>
    <t>〇</t>
  </si>
  <si>
    <t>Milestone</t>
  </si>
  <si>
    <t>Miss Nippon Ⅷ</t>
  </si>
  <si>
    <t xml:space="preserve">ZIPANG </t>
  </si>
  <si>
    <t>IXORA Ⅳ</t>
  </si>
  <si>
    <t>PHOENIX</t>
  </si>
  <si>
    <t>IV</t>
  </si>
  <si>
    <t>IV</t>
    <phoneticPr fontId="5"/>
  </si>
  <si>
    <t>Ⅲ</t>
  </si>
  <si>
    <t>＃618</t>
  </si>
  <si>
    <t>＃619</t>
  </si>
  <si>
    <t>＃620</t>
  </si>
  <si>
    <t>＃621</t>
  </si>
  <si>
    <t>＃622</t>
  </si>
  <si>
    <t>＃623</t>
  </si>
  <si>
    <t>＃624</t>
  </si>
  <si>
    <t>＃625</t>
  </si>
  <si>
    <t>＃626</t>
  </si>
  <si>
    <t>＃627</t>
  </si>
  <si>
    <t>＃628</t>
  </si>
  <si>
    <t>＃629</t>
  </si>
  <si>
    <t>F</t>
  </si>
  <si>
    <t>E</t>
  </si>
  <si>
    <t>A</t>
  </si>
  <si>
    <t>A</t>
    <phoneticPr fontId="5"/>
  </si>
  <si>
    <t>予備</t>
    <rPh sb="0" eb="2">
      <t>ヨビ</t>
    </rPh>
    <phoneticPr fontId="5"/>
  </si>
  <si>
    <t>予</t>
    <rPh sb="0" eb="1">
      <t>ヨ</t>
    </rPh>
    <phoneticPr fontId="5"/>
  </si>
  <si>
    <t>短縮</t>
    <rPh sb="0" eb="2">
      <t>タンシュク</t>
    </rPh>
    <phoneticPr fontId="5"/>
  </si>
  <si>
    <t>2026公示 帆走指示書より</t>
    <rPh sb="4" eb="6">
      <t>コウジ</t>
    </rPh>
    <rPh sb="7" eb="9">
      <t>ハンソウ</t>
    </rPh>
    <rPh sb="9" eb="12">
      <t>シジショ</t>
    </rPh>
    <phoneticPr fontId="5"/>
  </si>
  <si>
    <t>JorE</t>
    <phoneticPr fontId="5"/>
  </si>
  <si>
    <t>2026年KFRコミッティー担当一覧</t>
    <rPh sb="4" eb="5">
      <t>ネン</t>
    </rPh>
    <rPh sb="14" eb="16">
      <t>タントウ</t>
    </rPh>
    <rPh sb="16" eb="18">
      <t>イチラン</t>
    </rPh>
    <phoneticPr fontId="5"/>
  </si>
  <si>
    <t>コースから参照値</t>
    <rPh sb="5" eb="8">
      <t>サンショウチ</t>
    </rPh>
    <phoneticPr fontId="5"/>
  </si>
  <si>
    <t>2026年度 後期</t>
    <rPh sb="7" eb="9">
      <t>コウキ</t>
    </rPh>
    <phoneticPr fontId="6"/>
  </si>
  <si>
    <t>2026年度 前期</t>
    <rPh sb="7" eb="9">
      <t>ゼンキ</t>
    </rPh>
    <phoneticPr fontId="6"/>
  </si>
  <si>
    <t>次回</t>
    <rPh sb="0" eb="2">
      <t>ジカイ</t>
    </rPh>
    <phoneticPr fontId="70"/>
  </si>
  <si>
    <t>※コース変更時は"O６"のMAX値を変更</t>
    <rPh sb="16" eb="17">
      <t>チ</t>
    </rPh>
    <rPh sb="18" eb="20">
      <t>ヘンコウ</t>
    </rPh>
    <phoneticPr fontId="39"/>
  </si>
  <si>
    <t>次回</t>
    <rPh sb="0" eb="2">
      <t>ジカイ</t>
    </rPh>
    <phoneticPr fontId="39"/>
  </si>
  <si>
    <t>レース委員会　原　眞由彦</t>
    <rPh sb="7" eb="8">
      <t>ハラ</t>
    </rPh>
    <rPh sb="9" eb="12">
      <t>マユヒコ</t>
    </rPh>
    <phoneticPr fontId="5"/>
  </si>
  <si>
    <t>前期</t>
    <rPh sb="0" eb="2">
      <t>ゼンキ</t>
    </rPh>
    <phoneticPr fontId="5"/>
  </si>
  <si>
    <t>2026年1月現在</t>
    <rPh sb="4" eb="5">
      <t>ネン</t>
    </rPh>
    <rPh sb="6" eb="7">
      <t>ガツ</t>
    </rPh>
    <rPh sb="7" eb="9">
      <t>ゲンザイ</t>
    </rPh>
    <phoneticPr fontId="6"/>
  </si>
  <si>
    <t>初島</t>
  </si>
  <si>
    <t>※当月初回参加艇は</t>
    <rPh sb="1" eb="3">
      <t>トウゲツ</t>
    </rPh>
    <rPh sb="3" eb="5">
      <t>ショカイ</t>
    </rPh>
    <rPh sb="5" eb="7">
      <t>サンカ</t>
    </rPh>
    <rPh sb="7" eb="8">
      <t>テイ</t>
    </rPh>
    <phoneticPr fontId="5"/>
  </si>
  <si>
    <t>SAILNO.入力で点数反映</t>
    <rPh sb="7" eb="9">
      <t>ニュウリョク</t>
    </rPh>
    <rPh sb="10" eb="12">
      <t>テンスウ</t>
    </rPh>
    <rPh sb="12" eb="14">
      <t>ハンエイ</t>
    </rPh>
    <phoneticPr fontId="5"/>
  </si>
  <si>
    <t>※前期成績数値貼付け、後期成績の初参加艇はSAILNO.入力で反映</t>
    <rPh sb="1" eb="3">
      <t>ゼンキ</t>
    </rPh>
    <rPh sb="3" eb="5">
      <t>セイセキ</t>
    </rPh>
    <rPh sb="5" eb="9">
      <t>スウチハリツ</t>
    </rPh>
    <rPh sb="11" eb="13">
      <t>コウキ</t>
    </rPh>
    <rPh sb="13" eb="15">
      <t>セイセキ</t>
    </rPh>
    <rPh sb="16" eb="19">
      <t>ハツサンカ</t>
    </rPh>
    <rPh sb="19" eb="20">
      <t>テイ</t>
    </rPh>
    <rPh sb="28" eb="30">
      <t>ニュウリョク</t>
    </rPh>
    <rPh sb="31" eb="33">
      <t>ハンエイ</t>
    </rPh>
    <phoneticPr fontId="5"/>
  </si>
  <si>
    <t>　年間得点計でソート</t>
    <rPh sb="1" eb="3">
      <t>ネンカン</t>
    </rPh>
    <rPh sb="3" eb="5">
      <t>トクテン</t>
    </rPh>
    <rPh sb="5" eb="6">
      <t>ケイ</t>
    </rPh>
    <phoneticPr fontId="5"/>
  </si>
  <si>
    <t>2026/1現在</t>
    <rPh sb="6" eb="8">
      <t>ゲンザイ</t>
    </rPh>
    <phoneticPr fontId="6"/>
  </si>
  <si>
    <t>2026年間総合</t>
    <rPh sb="4" eb="6">
      <t>ネンカン</t>
    </rPh>
    <rPh sb="6" eb="8">
      <t>ソウゴウ</t>
    </rPh>
    <phoneticPr fontId="6"/>
  </si>
  <si>
    <t>2026年  月現在</t>
    <rPh sb="4" eb="5">
      <t>ネン</t>
    </rPh>
    <rPh sb="7" eb="8">
      <t>ガツ</t>
    </rPh>
    <rPh sb="8" eb="10">
      <t>ゲンザイ</t>
    </rPh>
    <phoneticPr fontId="5"/>
  </si>
  <si>
    <t>2026年  月現在</t>
    <rPh sb="4" eb="5">
      <t>ネン</t>
    </rPh>
    <rPh sb="7" eb="8">
      <t>ガツ</t>
    </rPh>
    <rPh sb="8" eb="10">
      <t>ゲンザイ</t>
    </rPh>
    <phoneticPr fontId="6"/>
  </si>
  <si>
    <t>小網代フリートレース年間成績（暫定）</t>
    <rPh sb="10" eb="12">
      <t>ネンカン</t>
    </rPh>
    <rPh sb="12" eb="14">
      <t>セイセキ</t>
    </rPh>
    <rPh sb="15" eb="17">
      <t>ザンテイ</t>
    </rPh>
    <phoneticPr fontId="6"/>
  </si>
  <si>
    <t>小網代フリートレース成績（暫定）</t>
    <rPh sb="10" eb="12">
      <t>セイセキ</t>
    </rPh>
    <rPh sb="13" eb="15">
      <t>ザンテイ</t>
    </rPh>
    <phoneticPr fontId="6"/>
  </si>
  <si>
    <t>LADY KANON</t>
  </si>
  <si>
    <t>Ⅰ</t>
  </si>
  <si>
    <t>ネプチューン</t>
  </si>
  <si>
    <t>IDEAL</t>
  </si>
  <si>
    <t>サーモン4</t>
  </si>
  <si>
    <t>ー</t>
  </si>
  <si>
    <t>IXORA IV</t>
  </si>
  <si>
    <t>2026年2月5日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</si>
</sst>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0.00_ "/>
    <numFmt numFmtId="178" formatCode="0.0_);[Red]\(0.0\)"/>
    <numFmt numFmtId="179" formatCode="0.0_ "/>
    <numFmt numFmtId="180" formatCode="hh:mm"/>
    <numFmt numFmtId="181" formatCode="0.0_ ;[Red]\-0.0\ "/>
    <numFmt numFmtId="182" formatCode="0.0"/>
    <numFmt numFmtId="183" formatCode="@&quot;コース&quot;"/>
    <numFmt numFmtId="184" formatCode="m/d;@"/>
    <numFmt numFmtId="185" formatCode="0.00_);[Red]\(0.00\)"/>
  </numFmts>
  <fonts count="7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3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3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1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0070C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rgb="FF00B0F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0033CC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ＭＳ 明朝"/>
      <family val="1"/>
      <charset val="1"/>
    </font>
    <font>
      <sz val="10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40" fillId="0" borderId="0">
      <alignment vertical="center"/>
    </xf>
    <xf numFmtId="0" fontId="16" fillId="0" borderId="0"/>
    <xf numFmtId="0" fontId="8" fillId="0" borderId="0"/>
    <xf numFmtId="0" fontId="34" fillId="0" borderId="0"/>
    <xf numFmtId="0" fontId="33" fillId="4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82">
    <xf numFmtId="0" fontId="0" fillId="0" borderId="0" xfId="0">
      <alignment vertical="center"/>
    </xf>
    <xf numFmtId="0" fontId="8" fillId="0" borderId="0" xfId="0" applyFont="1" applyAlignment="1"/>
    <xf numFmtId="0" fontId="10" fillId="0" borderId="0" xfId="0" applyFont="1" applyAlignment="1"/>
    <xf numFmtId="176" fontId="14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14" fillId="0" borderId="0" xfId="0" applyNumberFormat="1" applyFont="1" applyAlignment="1">
      <alignment horizont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6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0" fillId="0" borderId="14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44" fillId="0" borderId="0" xfId="0" applyFont="1">
      <alignment vertical="center"/>
    </xf>
    <xf numFmtId="0" fontId="17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shrinkToFit="1"/>
    </xf>
    <xf numFmtId="183" fontId="10" fillId="0" borderId="59" xfId="0" applyNumberFormat="1" applyFont="1" applyBorder="1" applyAlignment="1">
      <alignment vertical="center" shrinkToFit="1"/>
    </xf>
    <xf numFmtId="183" fontId="10" fillId="0" borderId="60" xfId="0" applyNumberFormat="1" applyFont="1" applyBorder="1" applyAlignment="1">
      <alignment vertical="center" shrinkToFit="1"/>
    </xf>
    <xf numFmtId="0" fontId="8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176" fontId="8" fillId="0" borderId="63" xfId="0" applyNumberFormat="1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176" fontId="8" fillId="0" borderId="67" xfId="0" applyNumberFormat="1" applyFont="1" applyBorder="1" applyAlignment="1">
      <alignment horizontal="center" vertical="center" shrinkToFit="1"/>
    </xf>
    <xf numFmtId="176" fontId="8" fillId="0" borderId="74" xfId="0" applyNumberFormat="1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176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/>
    <xf numFmtId="14" fontId="0" fillId="0" borderId="0" xfId="0" applyNumberFormat="1" applyAlignment="1"/>
    <xf numFmtId="56" fontId="9" fillId="0" borderId="58" xfId="0" applyNumberFormat="1" applyFont="1" applyBorder="1" applyAlignment="1">
      <alignment vertical="center" shrinkToFit="1"/>
    </xf>
    <xf numFmtId="0" fontId="0" fillId="0" borderId="15" xfId="0" applyBorder="1" applyAlignment="1"/>
    <xf numFmtId="0" fontId="0" fillId="0" borderId="32" xfId="0" applyBorder="1" applyAlignment="1"/>
    <xf numFmtId="0" fontId="0" fillId="0" borderId="22" xfId="0" applyBorder="1" applyAlignment="1"/>
    <xf numFmtId="0" fontId="19" fillId="0" borderId="0" xfId="0" applyFont="1" applyAlignment="1">
      <alignment horizontal="right" vertical="center"/>
    </xf>
    <xf numFmtId="31" fontId="20" fillId="0" borderId="0" xfId="0" applyNumberFormat="1" applyFont="1" applyAlignment="1">
      <alignment horizontal="right" vertical="center"/>
    </xf>
    <xf numFmtId="0" fontId="45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24" borderId="61" xfId="0" applyFont="1" applyFill="1" applyBorder="1" applyAlignment="1">
      <alignment horizontal="right" vertical="center"/>
    </xf>
    <xf numFmtId="0" fontId="45" fillId="25" borderId="14" xfId="0" applyFont="1" applyFill="1" applyBorder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8" fillId="0" borderId="93" xfId="0" applyFont="1" applyBorder="1" applyAlignment="1">
      <alignment horizontal="center" vertical="center" shrinkToFit="1"/>
    </xf>
    <xf numFmtId="176" fontId="8" fillId="0" borderId="93" xfId="0" applyNumberFormat="1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 shrinkToFit="1"/>
    </xf>
    <xf numFmtId="0" fontId="0" fillId="0" borderId="98" xfId="0" applyBorder="1" applyAlignment="1"/>
    <xf numFmtId="14" fontId="45" fillId="24" borderId="96" xfId="0" applyNumberFormat="1" applyFont="1" applyFill="1" applyBorder="1" applyAlignment="1">
      <alignment horizontal="left" vertical="center"/>
    </xf>
    <xf numFmtId="0" fontId="47" fillId="24" borderId="0" xfId="0" applyFont="1" applyFill="1" applyAlignment="1"/>
    <xf numFmtId="55" fontId="47" fillId="24" borderId="0" xfId="0" applyNumberFormat="1" applyFont="1" applyFill="1" applyAlignment="1"/>
    <xf numFmtId="49" fontId="48" fillId="24" borderId="0" xfId="0" applyNumberFormat="1" applyFont="1" applyFill="1" applyAlignment="1">
      <alignment horizontal="center" vertical="top"/>
    </xf>
    <xf numFmtId="49" fontId="48" fillId="24" borderId="0" xfId="0" applyNumberFormat="1" applyFont="1" applyFill="1" applyAlignment="1">
      <alignment vertical="top"/>
    </xf>
    <xf numFmtId="55" fontId="49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/>
    <xf numFmtId="0" fontId="51" fillId="26" borderId="15" xfId="0" applyFont="1" applyFill="1" applyBorder="1" applyAlignment="1">
      <alignment horizontal="center" vertical="center"/>
    </xf>
    <xf numFmtId="0" fontId="51" fillId="24" borderId="32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3" fillId="24" borderId="0" xfId="0" applyFont="1" applyFill="1">
      <alignment vertical="center"/>
    </xf>
    <xf numFmtId="0" fontId="48" fillId="24" borderId="0" xfId="0" applyFont="1" applyFill="1" applyAlignment="1">
      <alignment horizontal="center"/>
    </xf>
    <xf numFmtId="0" fontId="54" fillId="26" borderId="22" xfId="0" applyFont="1" applyFill="1" applyBorder="1" applyAlignment="1">
      <alignment horizontal="center" vertical="center"/>
    </xf>
    <xf numFmtId="182" fontId="54" fillId="24" borderId="33" xfId="0" applyNumberFormat="1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51" fillId="24" borderId="34" xfId="0" applyFont="1" applyFill="1" applyBorder="1" applyAlignment="1">
      <alignment horizontal="right" vertical="center"/>
    </xf>
    <xf numFmtId="0" fontId="51" fillId="24" borderId="35" xfId="0" applyFont="1" applyFill="1" applyBorder="1" applyAlignment="1">
      <alignment horizontal="left" vertical="center"/>
    </xf>
    <xf numFmtId="0" fontId="54" fillId="24" borderId="30" xfId="0" applyFont="1" applyFill="1" applyBorder="1" applyAlignment="1">
      <alignment horizontal="left"/>
    </xf>
    <xf numFmtId="0" fontId="54" fillId="24" borderId="31" xfId="0" applyFont="1" applyFill="1" applyBorder="1" applyAlignment="1">
      <alignment horizontal="center"/>
    </xf>
    <xf numFmtId="0" fontId="52" fillId="24" borderId="31" xfId="0" applyFont="1" applyFill="1" applyBorder="1" applyAlignment="1">
      <alignment horizontal="left"/>
    </xf>
    <xf numFmtId="0" fontId="57" fillId="24" borderId="23" xfId="0" applyFont="1" applyFill="1" applyBorder="1" applyAlignment="1"/>
    <xf numFmtId="0" fontId="57" fillId="24" borderId="24" xfId="0" applyFont="1" applyFill="1" applyBorder="1" applyAlignment="1">
      <alignment horizontal="center"/>
    </xf>
    <xf numFmtId="0" fontId="57" fillId="24" borderId="24" xfId="0" applyFont="1" applyFill="1" applyBorder="1" applyAlignment="1"/>
    <xf numFmtId="0" fontId="57" fillId="24" borderId="24" xfId="0" applyFont="1" applyFill="1" applyBorder="1" applyAlignment="1">
      <alignment horizontal="right"/>
    </xf>
    <xf numFmtId="0" fontId="57" fillId="24" borderId="29" xfId="0" applyFont="1" applyFill="1" applyBorder="1" applyAlignment="1">
      <alignment horizontal="center"/>
    </xf>
    <xf numFmtId="0" fontId="58" fillId="24" borderId="90" xfId="0" applyFont="1" applyFill="1" applyBorder="1" applyAlignment="1"/>
    <xf numFmtId="0" fontId="59" fillId="24" borderId="25" xfId="0" applyFont="1" applyFill="1" applyBorder="1" applyAlignment="1"/>
    <xf numFmtId="0" fontId="59" fillId="24" borderId="36" xfId="0" quotePrefix="1" applyFont="1" applyFill="1" applyBorder="1" applyAlignment="1">
      <alignment horizontal="center"/>
    </xf>
    <xf numFmtId="176" fontId="59" fillId="24" borderId="10" xfId="0" applyNumberFormat="1" applyFont="1" applyFill="1" applyBorder="1" applyAlignment="1"/>
    <xf numFmtId="0" fontId="59" fillId="24" borderId="10" xfId="0" applyFont="1" applyFill="1" applyBorder="1" applyAlignment="1">
      <alignment horizontal="left"/>
    </xf>
    <xf numFmtId="0" fontId="59" fillId="24" borderId="10" xfId="0" applyFont="1" applyFill="1" applyBorder="1" applyAlignment="1">
      <alignment horizontal="center"/>
    </xf>
    <xf numFmtId="21" fontId="59" fillId="24" borderId="10" xfId="0" applyNumberFormat="1" applyFont="1" applyFill="1" applyBorder="1" applyAlignment="1">
      <alignment horizontal="center"/>
    </xf>
    <xf numFmtId="178" fontId="59" fillId="24" borderId="10" xfId="0" applyNumberFormat="1" applyFont="1" applyFill="1" applyBorder="1" applyAlignment="1">
      <alignment horizontal="right"/>
    </xf>
    <xf numFmtId="176" fontId="59" fillId="24" borderId="10" xfId="0" applyNumberFormat="1" applyFont="1" applyFill="1" applyBorder="1" applyAlignment="1">
      <alignment horizontal="right"/>
    </xf>
    <xf numFmtId="179" fontId="59" fillId="24" borderId="10" xfId="0" applyNumberFormat="1" applyFont="1" applyFill="1" applyBorder="1" applyAlignment="1"/>
    <xf numFmtId="177" fontId="59" fillId="24" borderId="10" xfId="0" applyNumberFormat="1" applyFont="1" applyFill="1" applyBorder="1" applyAlignment="1"/>
    <xf numFmtId="181" fontId="59" fillId="24" borderId="10" xfId="0" applyNumberFormat="1" applyFont="1" applyFill="1" applyBorder="1" applyAlignment="1">
      <alignment horizontal="right" vertical="top"/>
    </xf>
    <xf numFmtId="0" fontId="59" fillId="24" borderId="26" xfId="0" applyFont="1" applyFill="1" applyBorder="1" applyAlignment="1"/>
    <xf numFmtId="0" fontId="59" fillId="24" borderId="37" xfId="0" quotePrefix="1" applyFont="1" applyFill="1" applyBorder="1" applyAlignment="1">
      <alignment horizontal="center"/>
    </xf>
    <xf numFmtId="176" fontId="59" fillId="24" borderId="11" xfId="0" applyNumberFormat="1" applyFont="1" applyFill="1" applyBorder="1" applyAlignment="1"/>
    <xf numFmtId="0" fontId="59" fillId="24" borderId="11" xfId="0" applyFont="1" applyFill="1" applyBorder="1" applyAlignment="1">
      <alignment horizontal="left"/>
    </xf>
    <xf numFmtId="0" fontId="59" fillId="24" borderId="11" xfId="0" applyFont="1" applyFill="1" applyBorder="1" applyAlignment="1">
      <alignment horizontal="center"/>
    </xf>
    <xf numFmtId="21" fontId="59" fillId="24" borderId="11" xfId="0" applyNumberFormat="1" applyFont="1" applyFill="1" applyBorder="1" applyAlignment="1">
      <alignment horizontal="center"/>
    </xf>
    <xf numFmtId="178" fontId="59" fillId="24" borderId="11" xfId="0" applyNumberFormat="1" applyFont="1" applyFill="1" applyBorder="1" applyAlignment="1">
      <alignment horizontal="right"/>
    </xf>
    <xf numFmtId="176" fontId="59" fillId="24" borderId="11" xfId="0" applyNumberFormat="1" applyFont="1" applyFill="1" applyBorder="1" applyAlignment="1">
      <alignment horizontal="right"/>
    </xf>
    <xf numFmtId="179" fontId="59" fillId="24" borderId="11" xfId="0" applyNumberFormat="1" applyFont="1" applyFill="1" applyBorder="1" applyAlignment="1"/>
    <xf numFmtId="177" fontId="59" fillId="24" borderId="11" xfId="0" applyNumberFormat="1" applyFont="1" applyFill="1" applyBorder="1" applyAlignment="1"/>
    <xf numFmtId="181" fontId="59" fillId="24" borderId="11" xfId="0" applyNumberFormat="1" applyFont="1" applyFill="1" applyBorder="1" applyAlignment="1">
      <alignment horizontal="right" vertical="top"/>
    </xf>
    <xf numFmtId="21" fontId="59" fillId="24" borderId="67" xfId="0" applyNumberFormat="1" applyFont="1" applyFill="1" applyBorder="1" applyAlignment="1">
      <alignment horizontal="center"/>
    </xf>
    <xf numFmtId="0" fontId="59" fillId="24" borderId="27" xfId="0" applyFont="1" applyFill="1" applyBorder="1" applyAlignment="1"/>
    <xf numFmtId="0" fontId="59" fillId="24" borderId="38" xfId="0" quotePrefix="1" applyFont="1" applyFill="1" applyBorder="1" applyAlignment="1">
      <alignment horizontal="center"/>
    </xf>
    <xf numFmtId="176" fontId="59" fillId="24" borderId="12" xfId="0" applyNumberFormat="1" applyFont="1" applyFill="1" applyBorder="1" applyAlignment="1"/>
    <xf numFmtId="0" fontId="59" fillId="24" borderId="12" xfId="0" applyFont="1" applyFill="1" applyBorder="1" applyAlignment="1">
      <alignment horizontal="left"/>
    </xf>
    <xf numFmtId="0" fontId="59" fillId="24" borderId="12" xfId="0" applyFont="1" applyFill="1" applyBorder="1" applyAlignment="1">
      <alignment horizontal="center"/>
    </xf>
    <xf numFmtId="21" fontId="59" fillId="24" borderId="12" xfId="0" applyNumberFormat="1" applyFont="1" applyFill="1" applyBorder="1" applyAlignment="1">
      <alignment horizontal="center"/>
    </xf>
    <xf numFmtId="176" fontId="59" fillId="24" borderId="49" xfId="0" applyNumberFormat="1" applyFont="1" applyFill="1" applyBorder="1" applyAlignment="1"/>
    <xf numFmtId="178" fontId="59" fillId="24" borderId="49" xfId="0" applyNumberFormat="1" applyFont="1" applyFill="1" applyBorder="1" applyAlignment="1">
      <alignment horizontal="right"/>
    </xf>
    <xf numFmtId="0" fontId="59" fillId="24" borderId="49" xfId="0" applyFont="1" applyFill="1" applyBorder="1" applyAlignment="1">
      <alignment horizontal="center"/>
    </xf>
    <xf numFmtId="176" fontId="59" fillId="24" borderId="49" xfId="0" applyNumberFormat="1" applyFont="1" applyFill="1" applyBorder="1" applyAlignment="1">
      <alignment horizontal="right"/>
    </xf>
    <xf numFmtId="21" fontId="59" fillId="24" borderId="49" xfId="0" applyNumberFormat="1" applyFont="1" applyFill="1" applyBorder="1" applyAlignment="1">
      <alignment horizontal="center"/>
    </xf>
    <xf numFmtId="179" fontId="59" fillId="24" borderId="49" xfId="0" applyNumberFormat="1" applyFont="1" applyFill="1" applyBorder="1" applyAlignment="1"/>
    <xf numFmtId="177" fontId="59" fillId="24" borderId="49" xfId="0" applyNumberFormat="1" applyFont="1" applyFill="1" applyBorder="1" applyAlignment="1"/>
    <xf numFmtId="181" fontId="59" fillId="24" borderId="49" xfId="0" applyNumberFormat="1" applyFont="1" applyFill="1" applyBorder="1" applyAlignment="1">
      <alignment horizontal="right" vertical="top"/>
    </xf>
    <xf numFmtId="21" fontId="59" fillId="24" borderId="74" xfId="0" applyNumberFormat="1" applyFont="1" applyFill="1" applyBorder="1" applyAlignment="1">
      <alignment horizontal="center"/>
    </xf>
    <xf numFmtId="0" fontId="59" fillId="24" borderId="28" xfId="0" applyFont="1" applyFill="1" applyBorder="1" applyAlignment="1"/>
    <xf numFmtId="178" fontId="59" fillId="24" borderId="12" xfId="0" applyNumberFormat="1" applyFont="1" applyFill="1" applyBorder="1" applyAlignment="1">
      <alignment horizontal="right"/>
    </xf>
    <xf numFmtId="176" fontId="59" fillId="24" borderId="12" xfId="0" applyNumberFormat="1" applyFont="1" applyFill="1" applyBorder="1" applyAlignment="1">
      <alignment horizontal="center"/>
    </xf>
    <xf numFmtId="176" fontId="59" fillId="24" borderId="12" xfId="0" applyNumberFormat="1" applyFont="1" applyFill="1" applyBorder="1" applyAlignment="1">
      <alignment horizontal="right"/>
    </xf>
    <xf numFmtId="179" fontId="59" fillId="24" borderId="12" xfId="0" applyNumberFormat="1" applyFont="1" applyFill="1" applyBorder="1" applyAlignment="1"/>
    <xf numFmtId="177" fontId="59" fillId="24" borderId="12" xfId="0" applyNumberFormat="1" applyFont="1" applyFill="1" applyBorder="1" applyAlignment="1"/>
    <xf numFmtId="181" fontId="59" fillId="24" borderId="12" xfId="0" applyNumberFormat="1" applyFont="1" applyFill="1" applyBorder="1" applyAlignment="1">
      <alignment horizontal="right" vertical="top"/>
    </xf>
    <xf numFmtId="176" fontId="59" fillId="24" borderId="13" xfId="0" applyNumberFormat="1" applyFont="1" applyFill="1" applyBorder="1" applyAlignment="1"/>
    <xf numFmtId="178" fontId="59" fillId="24" borderId="13" xfId="0" applyNumberFormat="1" applyFont="1" applyFill="1" applyBorder="1" applyAlignment="1">
      <alignment horizontal="right"/>
    </xf>
    <xf numFmtId="0" fontId="59" fillId="24" borderId="13" xfId="0" applyFont="1" applyFill="1" applyBorder="1" applyAlignment="1">
      <alignment horizontal="center"/>
    </xf>
    <xf numFmtId="176" fontId="59" fillId="24" borderId="13" xfId="0" applyNumberFormat="1" applyFont="1" applyFill="1" applyBorder="1" applyAlignment="1">
      <alignment horizontal="right"/>
    </xf>
    <xf numFmtId="21" fontId="59" fillId="24" borderId="13" xfId="0" applyNumberFormat="1" applyFont="1" applyFill="1" applyBorder="1" applyAlignment="1">
      <alignment horizontal="center"/>
    </xf>
    <xf numFmtId="179" fontId="59" fillId="24" borderId="13" xfId="0" applyNumberFormat="1" applyFont="1" applyFill="1" applyBorder="1" applyAlignment="1"/>
    <xf numFmtId="177" fontId="59" fillId="24" borderId="13" xfId="0" applyNumberFormat="1" applyFont="1" applyFill="1" applyBorder="1" applyAlignment="1"/>
    <xf numFmtId="181" fontId="59" fillId="24" borderId="13" xfId="0" applyNumberFormat="1" applyFont="1" applyFill="1" applyBorder="1" applyAlignment="1">
      <alignment horizontal="right" vertical="top"/>
    </xf>
    <xf numFmtId="0" fontId="59" fillId="24" borderId="39" xfId="0" quotePrefix="1" applyFont="1" applyFill="1" applyBorder="1" applyAlignment="1">
      <alignment horizontal="center"/>
    </xf>
    <xf numFmtId="0" fontId="59" fillId="24" borderId="40" xfId="0" applyFont="1" applyFill="1" applyBorder="1" applyAlignment="1"/>
    <xf numFmtId="21" fontId="59" fillId="24" borderId="67" xfId="0" applyNumberFormat="1" applyFont="1" applyFill="1" applyBorder="1" applyAlignment="1">
      <alignment horizontal="left"/>
    </xf>
    <xf numFmtId="180" fontId="59" fillId="24" borderId="69" xfId="0" applyNumberFormat="1" applyFont="1" applyFill="1" applyBorder="1" applyAlignment="1">
      <alignment horizontal="left"/>
    </xf>
    <xf numFmtId="180" fontId="59" fillId="24" borderId="47" xfId="0" applyNumberFormat="1" applyFont="1" applyFill="1" applyBorder="1" applyAlignment="1">
      <alignment horizontal="center"/>
    </xf>
    <xf numFmtId="0" fontId="59" fillId="24" borderId="13" xfId="0" applyFont="1" applyFill="1" applyBorder="1" applyAlignment="1">
      <alignment horizontal="left"/>
    </xf>
    <xf numFmtId="180" fontId="57" fillId="24" borderId="66" xfId="0" applyNumberFormat="1" applyFont="1" applyFill="1" applyBorder="1">
      <alignment vertical="center"/>
    </xf>
    <xf numFmtId="180" fontId="57" fillId="24" borderId="69" xfId="0" applyNumberFormat="1" applyFont="1" applyFill="1" applyBorder="1">
      <alignment vertical="center"/>
    </xf>
    <xf numFmtId="0" fontId="47" fillId="24" borderId="92" xfId="0" applyFont="1" applyFill="1" applyBorder="1" applyAlignment="1">
      <alignment vertical="top" wrapText="1"/>
    </xf>
    <xf numFmtId="0" fontId="47" fillId="24" borderId="90" xfId="0" applyFont="1" applyFill="1" applyBorder="1" applyAlignment="1">
      <alignment vertical="top" wrapText="1"/>
    </xf>
    <xf numFmtId="0" fontId="47" fillId="24" borderId="83" xfId="0" applyFont="1" applyFill="1" applyBorder="1" applyAlignment="1">
      <alignment vertical="top" wrapText="1"/>
    </xf>
    <xf numFmtId="0" fontId="59" fillId="24" borderId="0" xfId="0" applyFont="1" applyFill="1" applyAlignment="1"/>
    <xf numFmtId="0" fontId="57" fillId="24" borderId="0" xfId="0" applyFont="1" applyFill="1" applyAlignment="1"/>
    <xf numFmtId="0" fontId="53" fillId="0" borderId="0" xfId="0" applyFont="1">
      <alignment vertical="center"/>
    </xf>
    <xf numFmtId="0" fontId="47" fillId="0" borderId="0" xfId="0" applyFont="1" applyAlignment="1"/>
    <xf numFmtId="0" fontId="51" fillId="0" borderId="0" xfId="0" applyFont="1" applyAlignment="1"/>
    <xf numFmtId="0" fontId="62" fillId="0" borderId="0" xfId="0" applyFont="1">
      <alignment vertical="center"/>
    </xf>
    <xf numFmtId="0" fontId="63" fillId="0" borderId="0" xfId="0" applyFont="1" applyAlignment="1"/>
    <xf numFmtId="0" fontId="54" fillId="0" borderId="31" xfId="0" applyFont="1" applyBorder="1" applyAlignment="1">
      <alignment horizontal="center"/>
    </xf>
    <xf numFmtId="0" fontId="59" fillId="0" borderId="0" xfId="0" applyFont="1" applyAlignment="1"/>
    <xf numFmtId="0" fontId="54" fillId="0" borderId="30" xfId="0" applyFont="1" applyBorder="1" applyAlignment="1">
      <alignment horizontal="center"/>
    </xf>
    <xf numFmtId="0" fontId="54" fillId="0" borderId="42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0" xfId="0" applyFont="1" applyAlignment="1"/>
    <xf numFmtId="0" fontId="57" fillId="0" borderId="43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181" fontId="59" fillId="0" borderId="10" xfId="0" applyNumberFormat="1" applyFont="1" applyBorder="1" applyAlignment="1">
      <alignment horizontal="right" vertical="top"/>
    </xf>
    <xf numFmtId="185" fontId="59" fillId="0" borderId="16" xfId="0" applyNumberFormat="1" applyFont="1" applyBorder="1" applyAlignment="1"/>
    <xf numFmtId="185" fontId="59" fillId="0" borderId="14" xfId="0" applyNumberFormat="1" applyFont="1" applyBorder="1" applyAlignment="1"/>
    <xf numFmtId="185" fontId="59" fillId="0" borderId="17" xfId="0" applyNumberFormat="1" applyFont="1" applyBorder="1" applyAlignment="1"/>
    <xf numFmtId="178" fontId="59" fillId="0" borderId="45" xfId="0" applyNumberFormat="1" applyFont="1" applyBorder="1" applyAlignment="1"/>
    <xf numFmtId="181" fontId="59" fillId="0" borderId="36" xfId="0" applyNumberFormat="1" applyFont="1" applyBorder="1" applyAlignment="1">
      <alignment horizontal="right" vertical="top"/>
    </xf>
    <xf numFmtId="185" fontId="59" fillId="0" borderId="22" xfId="0" applyNumberFormat="1" applyFont="1" applyBorder="1" applyAlignment="1"/>
    <xf numFmtId="185" fontId="59" fillId="0" borderId="33" xfId="0" applyNumberFormat="1" applyFont="1" applyBorder="1" applyAlignment="1"/>
    <xf numFmtId="185" fontId="59" fillId="0" borderId="21" xfId="0" applyNumberFormat="1" applyFont="1" applyBorder="1" applyAlignment="1"/>
    <xf numFmtId="21" fontId="57" fillId="24" borderId="67" xfId="0" applyNumberFormat="1" applyFont="1" applyFill="1" applyBorder="1" applyAlignment="1">
      <alignment horizontal="left" vertical="top"/>
    </xf>
    <xf numFmtId="176" fontId="59" fillId="24" borderId="11" xfId="0" applyNumberFormat="1" applyFont="1" applyFill="1" applyBorder="1" applyAlignment="1">
      <alignment horizontal="center"/>
    </xf>
    <xf numFmtId="21" fontId="59" fillId="24" borderId="74" xfId="0" applyNumberFormat="1" applyFont="1" applyFill="1" applyBorder="1" applyAlignment="1">
      <alignment horizontal="left"/>
    </xf>
    <xf numFmtId="21" fontId="59" fillId="24" borderId="63" xfId="0" applyNumberFormat="1" applyFont="1" applyFill="1" applyBorder="1" applyAlignment="1">
      <alignment horizontal="left"/>
    </xf>
    <xf numFmtId="2" fontId="59" fillId="24" borderId="10" xfId="0" applyNumberFormat="1" applyFont="1" applyFill="1" applyBorder="1" applyAlignment="1">
      <alignment horizontal="center"/>
    </xf>
    <xf numFmtId="2" fontId="59" fillId="24" borderId="11" xfId="0" applyNumberFormat="1" applyFont="1" applyFill="1" applyBorder="1" applyAlignment="1">
      <alignment horizontal="center"/>
    </xf>
    <xf numFmtId="2" fontId="59" fillId="24" borderId="12" xfId="0" applyNumberFormat="1" applyFont="1" applyFill="1" applyBorder="1" applyAlignment="1">
      <alignment horizontal="center"/>
    </xf>
    <xf numFmtId="176" fontId="59" fillId="24" borderId="13" xfId="0" applyNumberFormat="1" applyFont="1" applyFill="1" applyBorder="1" applyAlignment="1">
      <alignment horizontal="right" vertical="center"/>
    </xf>
    <xf numFmtId="180" fontId="59" fillId="24" borderId="66" xfId="0" applyNumberFormat="1" applyFont="1" applyFill="1" applyBorder="1" applyAlignment="1">
      <alignment horizontal="left" vertical="center"/>
    </xf>
    <xf numFmtId="21" fontId="59" fillId="24" borderId="58" xfId="0" applyNumberFormat="1" applyFont="1" applyFill="1" applyBorder="1" applyAlignment="1">
      <alignment horizontal="left"/>
    </xf>
    <xf numFmtId="176" fontId="59" fillId="0" borderId="10" xfId="0" applyNumberFormat="1" applyFont="1" applyBorder="1" applyAlignment="1"/>
    <xf numFmtId="0" fontId="59" fillId="0" borderId="10" xfId="0" applyFont="1" applyBorder="1" applyAlignment="1">
      <alignment horizontal="left"/>
    </xf>
    <xf numFmtId="176" fontId="59" fillId="0" borderId="11" xfId="0" applyNumberFormat="1" applyFont="1" applyBorder="1" applyAlignment="1"/>
    <xf numFmtId="0" fontId="59" fillId="0" borderId="11" xfId="0" applyFont="1" applyBorder="1" applyAlignment="1">
      <alignment horizontal="left"/>
    </xf>
    <xf numFmtId="176" fontId="59" fillId="0" borderId="12" xfId="0" applyNumberFormat="1" applyFont="1" applyBorder="1" applyAlignment="1"/>
    <xf numFmtId="0" fontId="59" fillId="0" borderId="12" xfId="0" applyFont="1" applyBorder="1" applyAlignment="1">
      <alignment horizontal="left"/>
    </xf>
    <xf numFmtId="176" fontId="59" fillId="0" borderId="13" xfId="0" applyNumberFormat="1" applyFont="1" applyBorder="1" applyAlignment="1"/>
    <xf numFmtId="176" fontId="59" fillId="0" borderId="11" xfId="0" applyNumberFormat="1" applyFont="1" applyBorder="1" applyAlignment="1">
      <alignment horizontal="right" vertical="center"/>
    </xf>
    <xf numFmtId="0" fontId="59" fillId="0" borderId="13" xfId="0" applyFont="1" applyBorder="1" applyAlignment="1">
      <alignment horizontal="left"/>
    </xf>
    <xf numFmtId="56" fontId="54" fillId="24" borderId="32" xfId="0" applyNumberFormat="1" applyFont="1" applyFill="1" applyBorder="1" applyAlignment="1">
      <alignment horizontal="right" vertical="center"/>
    </xf>
    <xf numFmtId="180" fontId="54" fillId="24" borderId="4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64" fillId="0" borderId="0" xfId="0" applyFont="1" applyAlignment="1"/>
    <xf numFmtId="0" fontId="57" fillId="0" borderId="0" xfId="0" applyFont="1" applyAlignment="1">
      <alignment horizontal="right" vertical="center" shrinkToFit="1"/>
    </xf>
    <xf numFmtId="0" fontId="57" fillId="0" borderId="0" xfId="0" applyFont="1" applyAlignment="1">
      <alignment vertical="center" shrinkToFit="1"/>
    </xf>
    <xf numFmtId="0" fontId="54" fillId="0" borderId="0" xfId="0" applyFont="1" applyAlignment="1"/>
    <xf numFmtId="176" fontId="60" fillId="24" borderId="31" xfId="0" applyNumberFormat="1" applyFont="1" applyFill="1" applyBorder="1" applyAlignment="1">
      <alignment horizontal="center" vertical="center"/>
    </xf>
    <xf numFmtId="176" fontId="60" fillId="24" borderId="89" xfId="0" applyNumberFormat="1" applyFont="1" applyFill="1" applyBorder="1" applyAlignment="1">
      <alignment horizontal="center" vertical="center"/>
    </xf>
    <xf numFmtId="0" fontId="53" fillId="0" borderId="0" xfId="0" applyFont="1" applyAlignment="1"/>
    <xf numFmtId="0" fontId="65" fillId="0" borderId="0" xfId="0" applyFont="1" applyAlignment="1"/>
    <xf numFmtId="184" fontId="57" fillId="24" borderId="24" xfId="0" applyNumberFormat="1" applyFont="1" applyFill="1" applyBorder="1" applyAlignment="1">
      <alignment horizontal="center" vertical="center"/>
    </xf>
    <xf numFmtId="183" fontId="60" fillId="24" borderId="24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77" xfId="0" applyFont="1" applyBorder="1" applyAlignment="1">
      <alignment horizontal="center" vertical="center"/>
    </xf>
    <xf numFmtId="0" fontId="59" fillId="0" borderId="77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/>
    </xf>
    <xf numFmtId="176" fontId="57" fillId="0" borderId="36" xfId="0" quotePrefix="1" applyNumberFormat="1" applyFont="1" applyBorder="1" applyAlignment="1">
      <alignment horizontal="center"/>
    </xf>
    <xf numFmtId="179" fontId="59" fillId="0" borderId="10" xfId="0" quotePrefix="1" applyNumberFormat="1" applyFont="1" applyBorder="1" applyAlignment="1">
      <alignment horizontal="right"/>
    </xf>
    <xf numFmtId="179" fontId="59" fillId="0" borderId="10" xfId="0" quotePrefix="1" applyNumberFormat="1" applyFont="1" applyBorder="1" applyAlignment="1"/>
    <xf numFmtId="179" fontId="59" fillId="0" borderId="10" xfId="0" applyNumberFormat="1" applyFont="1" applyBorder="1" applyAlignment="1"/>
    <xf numFmtId="0" fontId="57" fillId="0" borderId="10" xfId="0" applyFont="1" applyBorder="1" applyAlignment="1">
      <alignment horizontal="center"/>
    </xf>
    <xf numFmtId="0" fontId="57" fillId="0" borderId="78" xfId="0" applyFont="1" applyBorder="1" applyAlignment="1">
      <alignment horizontal="center"/>
    </xf>
    <xf numFmtId="179" fontId="59" fillId="0" borderId="0" xfId="0" applyNumberFormat="1" applyFont="1" applyAlignment="1">
      <alignment horizontal="center"/>
    </xf>
    <xf numFmtId="176" fontId="57" fillId="0" borderId="10" xfId="0" quotePrefix="1" applyNumberFormat="1" applyFont="1" applyBorder="1" applyAlignment="1">
      <alignment horizontal="center"/>
    </xf>
    <xf numFmtId="182" fontId="59" fillId="0" borderId="11" xfId="0" applyNumberFormat="1" applyFont="1" applyBorder="1" applyAlignment="1">
      <alignment horizontal="right" shrinkToFit="1"/>
    </xf>
    <xf numFmtId="176" fontId="57" fillId="0" borderId="37" xfId="0" quotePrefix="1" applyNumberFormat="1" applyFont="1" applyBorder="1" applyAlignment="1">
      <alignment horizontal="center"/>
    </xf>
    <xf numFmtId="179" fontId="59" fillId="0" borderId="11" xfId="0" quotePrefix="1" applyNumberFormat="1" applyFont="1" applyBorder="1" applyAlignment="1">
      <alignment horizontal="right"/>
    </xf>
    <xf numFmtId="179" fontId="59" fillId="0" borderId="11" xfId="0" applyNumberFormat="1" applyFont="1" applyBorder="1" applyAlignment="1"/>
    <xf numFmtId="0" fontId="57" fillId="0" borderId="11" xfId="0" applyFont="1" applyBorder="1" applyAlignment="1">
      <alignment horizontal="center"/>
    </xf>
    <xf numFmtId="0" fontId="57" fillId="0" borderId="79" xfId="0" applyFont="1" applyBorder="1" applyAlignment="1">
      <alignment horizontal="center"/>
    </xf>
    <xf numFmtId="179" fontId="59" fillId="0" borderId="0" xfId="0" quotePrefix="1" applyNumberFormat="1" applyFont="1" applyAlignment="1">
      <alignment horizontal="center"/>
    </xf>
    <xf numFmtId="176" fontId="57" fillId="0" borderId="11" xfId="0" quotePrefix="1" applyNumberFormat="1" applyFont="1" applyBorder="1" applyAlignment="1">
      <alignment horizontal="center"/>
    </xf>
    <xf numFmtId="179" fontId="66" fillId="0" borderId="11" xfId="0" quotePrefix="1" applyNumberFormat="1" applyFont="1" applyBorder="1" applyAlignment="1">
      <alignment horizontal="right"/>
    </xf>
    <xf numFmtId="179" fontId="67" fillId="0" borderId="11" xfId="0" quotePrefix="1" applyNumberFormat="1" applyFont="1" applyBorder="1" applyAlignment="1">
      <alignment horizontal="right"/>
    </xf>
    <xf numFmtId="179" fontId="59" fillId="0" borderId="11" xfId="0" quotePrefix="1" applyNumberFormat="1" applyFont="1" applyBorder="1" applyAlignment="1"/>
    <xf numFmtId="179" fontId="66" fillId="0" borderId="11" xfId="0" quotePrefix="1" applyNumberFormat="1" applyFont="1" applyBorder="1" applyAlignment="1"/>
    <xf numFmtId="176" fontId="57" fillId="0" borderId="38" xfId="0" quotePrefix="1" applyNumberFormat="1" applyFont="1" applyBorder="1" applyAlignment="1">
      <alignment horizontal="center"/>
    </xf>
    <xf numFmtId="0" fontId="59" fillId="0" borderId="49" xfId="0" applyFont="1" applyBorder="1" applyAlignment="1">
      <alignment horizontal="left"/>
    </xf>
    <xf numFmtId="179" fontId="59" fillId="0" borderId="12" xfId="0" quotePrefix="1" applyNumberFormat="1" applyFont="1" applyBorder="1" applyAlignment="1">
      <alignment horizontal="right"/>
    </xf>
    <xf numFmtId="179" fontId="67" fillId="0" borderId="12" xfId="0" quotePrefix="1" applyNumberFormat="1" applyFont="1" applyBorder="1" applyAlignment="1">
      <alignment horizontal="right"/>
    </xf>
    <xf numFmtId="179" fontId="59" fillId="0" borderId="12" xfId="0" applyNumberFormat="1" applyFont="1" applyBorder="1" applyAlignment="1"/>
    <xf numFmtId="0" fontId="57" fillId="0" borderId="12" xfId="0" applyFont="1" applyBorder="1" applyAlignment="1">
      <alignment horizontal="center"/>
    </xf>
    <xf numFmtId="0" fontId="57" fillId="0" borderId="80" xfId="0" applyFont="1" applyBorder="1" applyAlignment="1">
      <alignment horizontal="center"/>
    </xf>
    <xf numFmtId="176" fontId="57" fillId="0" borderId="12" xfId="0" quotePrefix="1" applyNumberFormat="1" applyFont="1" applyBorder="1" applyAlignment="1">
      <alignment horizontal="center"/>
    </xf>
    <xf numFmtId="182" fontId="59" fillId="0" borderId="12" xfId="0" applyNumberFormat="1" applyFont="1" applyBorder="1" applyAlignment="1">
      <alignment horizontal="right" shrinkToFit="1"/>
    </xf>
    <xf numFmtId="179" fontId="59" fillId="0" borderId="12" xfId="0" applyNumberFormat="1" applyFont="1" applyBorder="1" applyAlignment="1">
      <alignment horizontal="right"/>
    </xf>
    <xf numFmtId="179" fontId="66" fillId="0" borderId="12" xfId="0" quotePrefix="1" applyNumberFormat="1" applyFont="1" applyBorder="1" applyAlignment="1">
      <alignment horizontal="right"/>
    </xf>
    <xf numFmtId="179" fontId="59" fillId="0" borderId="10" xfId="0" applyNumberFormat="1" applyFont="1" applyBorder="1" applyAlignment="1">
      <alignment horizontal="right"/>
    </xf>
    <xf numFmtId="179" fontId="59" fillId="0" borderId="13" xfId="0" applyNumberFormat="1" applyFont="1" applyBorder="1" applyAlignment="1"/>
    <xf numFmtId="0" fontId="57" fillId="0" borderId="13" xfId="0" applyFont="1" applyBorder="1" applyAlignment="1">
      <alignment horizontal="center"/>
    </xf>
    <xf numFmtId="0" fontId="57" fillId="0" borderId="81" xfId="0" applyFont="1" applyBorder="1" applyAlignment="1">
      <alignment horizontal="center"/>
    </xf>
    <xf numFmtId="182" fontId="59" fillId="0" borderId="13" xfId="0" applyNumberFormat="1" applyFont="1" applyBorder="1" applyAlignment="1">
      <alignment horizontal="right" shrinkToFit="1"/>
    </xf>
    <xf numFmtId="179" fontId="66" fillId="0" borderId="10" xfId="0" quotePrefix="1" applyNumberFormat="1" applyFont="1" applyBorder="1" applyAlignment="1">
      <alignment horizontal="right"/>
    </xf>
    <xf numFmtId="0" fontId="57" fillId="0" borderId="67" xfId="0" applyFont="1" applyBorder="1" applyAlignment="1">
      <alignment horizontal="center"/>
    </xf>
    <xf numFmtId="179" fontId="59" fillId="0" borderId="11" xfId="0" applyNumberFormat="1" applyFont="1" applyBorder="1" applyAlignment="1">
      <alignment horizontal="right"/>
    </xf>
    <xf numFmtId="0" fontId="57" fillId="0" borderId="74" xfId="0" applyFont="1" applyBorder="1" applyAlignment="1">
      <alignment horizontal="center"/>
    </xf>
    <xf numFmtId="0" fontId="57" fillId="0" borderId="63" xfId="0" applyFont="1" applyBorder="1" applyAlignment="1">
      <alignment horizontal="center"/>
    </xf>
    <xf numFmtId="179" fontId="67" fillId="0" borderId="10" xfId="0" quotePrefix="1" applyNumberFormat="1" applyFont="1" applyBorder="1" applyAlignment="1">
      <alignment horizontal="right"/>
    </xf>
    <xf numFmtId="176" fontId="59" fillId="0" borderId="13" xfId="0" applyNumberFormat="1" applyFont="1" applyBorder="1" applyAlignment="1">
      <alignment horizontal="right" vertical="center"/>
    </xf>
    <xf numFmtId="179" fontId="59" fillId="0" borderId="13" xfId="0" quotePrefix="1" applyNumberFormat="1" applyFont="1" applyBorder="1" applyAlignment="1">
      <alignment horizontal="right"/>
    </xf>
    <xf numFmtId="179" fontId="66" fillId="0" borderId="13" xfId="0" quotePrefix="1" applyNumberFormat="1" applyFont="1" applyBorder="1" applyAlignment="1">
      <alignment horizontal="right"/>
    </xf>
    <xf numFmtId="0" fontId="59" fillId="0" borderId="0" xfId="0" quotePrefix="1" applyFont="1" applyAlignment="1">
      <alignment horizontal="center"/>
    </xf>
    <xf numFmtId="179" fontId="66" fillId="0" borderId="10" xfId="0" applyNumberFormat="1" applyFont="1" applyBorder="1" applyAlignment="1">
      <alignment horizontal="right"/>
    </xf>
    <xf numFmtId="0" fontId="57" fillId="0" borderId="88" xfId="0" applyFont="1" applyBorder="1" applyAlignment="1">
      <alignment horizontal="center"/>
    </xf>
    <xf numFmtId="176" fontId="57" fillId="0" borderId="39" xfId="0" quotePrefix="1" applyNumberFormat="1" applyFont="1" applyBorder="1" applyAlignment="1">
      <alignment horizontal="center"/>
    </xf>
    <xf numFmtId="179" fontId="59" fillId="0" borderId="13" xfId="0" applyNumberFormat="1" applyFont="1" applyBorder="1" applyAlignment="1">
      <alignment horizontal="right"/>
    </xf>
    <xf numFmtId="179" fontId="67" fillId="0" borderId="13" xfId="0" applyNumberFormat="1" applyFont="1" applyBorder="1" applyAlignment="1">
      <alignment horizontal="right"/>
    </xf>
    <xf numFmtId="0" fontId="59" fillId="0" borderId="11" xfId="0" applyFont="1" applyBorder="1" applyAlignment="1">
      <alignment horizontal="left" shrinkToFit="1"/>
    </xf>
    <xf numFmtId="176" fontId="57" fillId="0" borderId="85" xfId="0" quotePrefix="1" applyNumberFormat="1" applyFont="1" applyBorder="1" applyAlignment="1">
      <alignment horizontal="center"/>
    </xf>
    <xf numFmtId="176" fontId="59" fillId="0" borderId="86" xfId="0" applyNumberFormat="1" applyFont="1" applyBorder="1" applyAlignment="1"/>
    <xf numFmtId="0" fontId="59" fillId="0" borderId="86" xfId="0" applyFont="1" applyBorder="1" applyAlignment="1">
      <alignment horizontal="left"/>
    </xf>
    <xf numFmtId="179" fontId="59" fillId="0" borderId="86" xfId="0" quotePrefix="1" applyNumberFormat="1" applyFont="1" applyBorder="1" applyAlignment="1">
      <alignment horizontal="right"/>
    </xf>
    <xf numFmtId="179" fontId="59" fillId="0" borderId="86" xfId="0" applyNumberFormat="1" applyFont="1" applyBorder="1" applyAlignment="1"/>
    <xf numFmtId="0" fontId="57" fillId="0" borderId="86" xfId="0" applyFont="1" applyBorder="1" applyAlignment="1">
      <alignment horizontal="center"/>
    </xf>
    <xf numFmtId="0" fontId="57" fillId="0" borderId="87" xfId="0" applyFont="1" applyBorder="1" applyAlignment="1">
      <alignment horizontal="center"/>
    </xf>
    <xf numFmtId="0" fontId="59" fillId="0" borderId="12" xfId="0" applyFont="1" applyBorder="1" applyAlignment="1">
      <alignment horizontal="left" shrinkToFit="1"/>
    </xf>
    <xf numFmtId="176" fontId="59" fillId="0" borderId="82" xfId="0" quotePrefix="1" applyNumberFormat="1" applyFont="1" applyBorder="1" applyAlignment="1">
      <alignment horizontal="center"/>
    </xf>
    <xf numFmtId="0" fontId="57" fillId="0" borderId="82" xfId="0" applyFont="1" applyBorder="1" applyAlignment="1">
      <alignment horizontal="center"/>
    </xf>
    <xf numFmtId="0" fontId="57" fillId="0" borderId="83" xfId="0" applyFont="1" applyBorder="1" applyAlignment="1">
      <alignment horizontal="center"/>
    </xf>
    <xf numFmtId="0" fontId="57" fillId="0" borderId="84" xfId="0" applyFont="1" applyBorder="1" applyAlignment="1">
      <alignment horizontal="center"/>
    </xf>
    <xf numFmtId="0" fontId="59" fillId="0" borderId="13" xfId="0" applyFont="1" applyBorder="1" applyAlignment="1">
      <alignment horizontal="left" shrinkToFit="1"/>
    </xf>
    <xf numFmtId="14" fontId="57" fillId="0" borderId="0" xfId="0" applyNumberFormat="1" applyFont="1" applyAlignment="1"/>
    <xf numFmtId="0" fontId="57" fillId="0" borderId="0" xfId="0" applyFont="1" applyAlignment="1">
      <alignment horizontal="center" shrinkToFit="1"/>
    </xf>
    <xf numFmtId="0" fontId="57" fillId="0" borderId="50" xfId="0" applyFont="1" applyBorder="1" applyAlignment="1"/>
    <xf numFmtId="0" fontId="57" fillId="0" borderId="51" xfId="0" applyFont="1" applyBorder="1" applyAlignment="1"/>
    <xf numFmtId="0" fontId="57" fillId="0" borderId="52" xfId="0" applyFont="1" applyBorder="1" applyAlignment="1"/>
    <xf numFmtId="0" fontId="57" fillId="0" borderId="53" xfId="0" applyFont="1" applyBorder="1" applyAlignment="1">
      <alignment shrinkToFit="1"/>
    </xf>
    <xf numFmtId="0" fontId="57" fillId="0" borderId="0" xfId="0" applyFont="1" applyAlignment="1">
      <alignment horizontal="right"/>
    </xf>
    <xf numFmtId="0" fontId="57" fillId="0" borderId="54" xfId="0" applyFont="1" applyBorder="1" applyAlignment="1">
      <alignment horizontal="right"/>
    </xf>
    <xf numFmtId="0" fontId="58" fillId="0" borderId="0" xfId="0" applyFont="1" applyAlignment="1">
      <alignment horizontal="left"/>
    </xf>
    <xf numFmtId="0" fontId="57" fillId="0" borderId="0" xfId="0" applyFont="1" applyAlignment="1">
      <alignment wrapText="1" shrinkToFit="1"/>
    </xf>
    <xf numFmtId="0" fontId="68" fillId="0" borderId="0" xfId="0" applyFont="1" applyAlignment="1">
      <alignment horizontal="left" readingOrder="1"/>
    </xf>
    <xf numFmtId="0" fontId="57" fillId="0" borderId="55" xfId="0" applyFont="1" applyBorder="1" applyAlignment="1"/>
    <xf numFmtId="0" fontId="57" fillId="0" borderId="56" xfId="0" applyFont="1" applyBorder="1" applyAlignment="1"/>
    <xf numFmtId="0" fontId="57" fillId="0" borderId="57" xfId="0" applyFont="1" applyBorder="1" applyAlignment="1"/>
    <xf numFmtId="180" fontId="54" fillId="24" borderId="0" xfId="0" applyNumberFormat="1" applyFont="1" applyFill="1" applyAlignment="1">
      <alignment horizontal="center" vertical="center"/>
    </xf>
    <xf numFmtId="0" fontId="51" fillId="24" borderId="0" xfId="0" applyFont="1" applyFill="1" applyAlignment="1">
      <alignment horizontal="left" vertical="center"/>
    </xf>
    <xf numFmtId="0" fontId="54" fillId="24" borderId="0" xfId="0" applyFont="1" applyFill="1" applyAlignment="1">
      <alignment horizontal="center"/>
    </xf>
    <xf numFmtId="0" fontId="59" fillId="24" borderId="0" xfId="0" applyFont="1" applyFill="1" applyAlignment="1">
      <alignment horizontal="left" vertical="top" wrapText="1"/>
    </xf>
    <xf numFmtId="180" fontId="56" fillId="24" borderId="41" xfId="0" applyNumberFormat="1" applyFont="1" applyFill="1" applyBorder="1" applyAlignment="1">
      <alignment horizontal="center" vertical="center" wrapText="1"/>
    </xf>
    <xf numFmtId="21" fontId="59" fillId="24" borderId="58" xfId="0" applyNumberFormat="1" applyFont="1" applyFill="1" applyBorder="1" applyAlignment="1">
      <alignment horizontal="center"/>
    </xf>
    <xf numFmtId="176" fontId="59" fillId="24" borderId="11" xfId="0" applyNumberFormat="1" applyFont="1" applyFill="1" applyBorder="1" applyAlignment="1">
      <alignment horizontal="right" vertical="center"/>
    </xf>
    <xf numFmtId="176" fontId="59" fillId="24" borderId="13" xfId="0" applyNumberFormat="1" applyFont="1" applyFill="1" applyBorder="1" applyAlignment="1">
      <alignment horizontal="center"/>
    </xf>
    <xf numFmtId="21" fontId="57" fillId="24" borderId="74" xfId="0" applyNumberFormat="1" applyFont="1" applyFill="1" applyBorder="1" applyAlignment="1">
      <alignment horizontal="left" vertical="top"/>
    </xf>
    <xf numFmtId="21" fontId="59" fillId="24" borderId="0" xfId="0" applyNumberFormat="1" applyFont="1" applyFill="1" applyAlignment="1">
      <alignment horizontal="center"/>
    </xf>
    <xf numFmtId="0" fontId="53" fillId="24" borderId="67" xfId="0" applyFont="1" applyFill="1" applyBorder="1">
      <alignment vertical="center"/>
    </xf>
    <xf numFmtId="180" fontId="59" fillId="24" borderId="63" xfId="0" applyNumberFormat="1" applyFont="1" applyFill="1" applyBorder="1" applyAlignment="1">
      <alignment horizontal="left" vertical="center"/>
    </xf>
    <xf numFmtId="21" fontId="59" fillId="24" borderId="66" xfId="0" applyNumberFormat="1" applyFont="1" applyFill="1" applyBorder="1" applyAlignment="1">
      <alignment horizontal="left"/>
    </xf>
    <xf numFmtId="176" fontId="59" fillId="24" borderId="12" xfId="0" applyNumberFormat="1" applyFont="1" applyFill="1" applyBorder="1" applyAlignment="1">
      <alignment horizontal="right" vertical="center"/>
    </xf>
    <xf numFmtId="2" fontId="59" fillId="24" borderId="13" xfId="0" applyNumberFormat="1" applyFont="1" applyFill="1" applyBorder="1" applyAlignment="1">
      <alignment horizontal="center"/>
    </xf>
    <xf numFmtId="49" fontId="54" fillId="24" borderId="0" xfId="0" applyNumberFormat="1" applyFont="1" applyFill="1" applyAlignment="1"/>
    <xf numFmtId="0" fontId="45" fillId="27" borderId="61" xfId="0" applyFont="1" applyFill="1" applyBorder="1" applyAlignment="1">
      <alignment horizontal="right" vertical="center"/>
    </xf>
    <xf numFmtId="14" fontId="45" fillId="27" borderId="96" xfId="0" applyNumberFormat="1" applyFont="1" applyFill="1" applyBorder="1" applyAlignment="1">
      <alignment horizontal="left" vertical="center"/>
    </xf>
    <xf numFmtId="38" fontId="45" fillId="27" borderId="96" xfId="46" applyFont="1" applyFill="1" applyBorder="1" applyAlignment="1">
      <alignment horizontal="left" vertical="center"/>
    </xf>
    <xf numFmtId="0" fontId="42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59" fillId="24" borderId="49" xfId="0" applyFont="1" applyFill="1" applyBorder="1" applyAlignment="1">
      <alignment horizontal="left"/>
    </xf>
    <xf numFmtId="0" fontId="11" fillId="0" borderId="0" xfId="0" applyFont="1" applyAlignment="1"/>
    <xf numFmtId="14" fontId="13" fillId="0" borderId="0" xfId="0" quotePrefix="1" applyNumberFormat="1" applyFont="1" applyAlignment="1">
      <alignment horizontal="right" vertical="center"/>
    </xf>
    <xf numFmtId="2" fontId="59" fillId="24" borderId="58" xfId="0" applyNumberFormat="1" applyFont="1" applyFill="1" applyBorder="1" applyAlignment="1">
      <alignment horizontal="center"/>
    </xf>
    <xf numFmtId="2" fontId="59" fillId="24" borderId="67" xfId="0" applyNumberFormat="1" applyFont="1" applyFill="1" applyBorder="1" applyAlignment="1">
      <alignment horizontal="center"/>
    </xf>
    <xf numFmtId="2" fontId="59" fillId="24" borderId="74" xfId="0" applyNumberFormat="1" applyFont="1" applyFill="1" applyBorder="1" applyAlignment="1">
      <alignment horizontal="center"/>
    </xf>
    <xf numFmtId="0" fontId="59" fillId="24" borderId="67" xfId="0" applyFont="1" applyFill="1" applyBorder="1" applyAlignment="1">
      <alignment horizontal="center"/>
    </xf>
    <xf numFmtId="0" fontId="59" fillId="24" borderId="10" xfId="0" quotePrefix="1" applyFont="1" applyFill="1" applyBorder="1" applyAlignment="1">
      <alignment horizontal="center"/>
    </xf>
    <xf numFmtId="0" fontId="59" fillId="24" borderId="11" xfId="0" quotePrefix="1" applyFont="1" applyFill="1" applyBorder="1" applyAlignment="1">
      <alignment horizontal="center"/>
    </xf>
    <xf numFmtId="0" fontId="59" fillId="24" borderId="12" xfId="0" quotePrefix="1" applyFont="1" applyFill="1" applyBorder="1" applyAlignment="1">
      <alignment horizontal="center"/>
    </xf>
    <xf numFmtId="0" fontId="59" fillId="24" borderId="13" xfId="0" quotePrefix="1" applyFont="1" applyFill="1" applyBorder="1" applyAlignment="1">
      <alignment horizontal="center"/>
    </xf>
    <xf numFmtId="2" fontId="59" fillId="24" borderId="63" xfId="0" applyNumberFormat="1" applyFont="1" applyFill="1" applyBorder="1" applyAlignment="1">
      <alignment horizontal="center"/>
    </xf>
    <xf numFmtId="179" fontId="71" fillId="0" borderId="10" xfId="0" quotePrefix="1" applyNumberFormat="1" applyFont="1" applyBorder="1" applyAlignment="1"/>
    <xf numFmtId="176" fontId="59" fillId="0" borderId="12" xfId="0" applyNumberFormat="1" applyFont="1" applyBorder="1" applyAlignment="1">
      <alignment horizontal="right" vertical="center"/>
    </xf>
    <xf numFmtId="0" fontId="10" fillId="24" borderId="24" xfId="0" applyFont="1" applyFill="1" applyBorder="1" applyAlignment="1">
      <alignment horizontal="right" vertical="center" shrinkToFit="1"/>
    </xf>
    <xf numFmtId="182" fontId="74" fillId="24" borderId="117" xfId="0" applyNumberFormat="1" applyFont="1" applyFill="1" applyBorder="1">
      <alignment vertical="center"/>
    </xf>
    <xf numFmtId="182" fontId="74" fillId="24" borderId="118" xfId="0" applyNumberFormat="1" applyFont="1" applyFill="1" applyBorder="1">
      <alignment vertical="center"/>
    </xf>
    <xf numFmtId="0" fontId="73" fillId="24" borderId="118" xfId="0" applyFont="1" applyFill="1" applyBorder="1" applyAlignment="1">
      <alignment horizontal="right" vertical="center" shrinkToFit="1"/>
    </xf>
    <xf numFmtId="0" fontId="73" fillId="24" borderId="116" xfId="0" applyFont="1" applyFill="1" applyBorder="1" applyAlignment="1">
      <alignment horizontal="center" vertical="center" shrinkToFit="1"/>
    </xf>
    <xf numFmtId="0" fontId="73" fillId="24" borderId="121" xfId="0" applyFont="1" applyFill="1" applyBorder="1" applyAlignment="1">
      <alignment horizontal="center" vertical="center" shrinkToFit="1"/>
    </xf>
    <xf numFmtId="0" fontId="10" fillId="0" borderId="122" xfId="48" applyFont="1" applyBorder="1" applyAlignment="1">
      <alignment horizontal="center" vertical="top" wrapText="1"/>
    </xf>
    <xf numFmtId="185" fontId="10" fillId="0" borderId="123" xfId="48" applyNumberFormat="1" applyFont="1" applyBorder="1" applyAlignment="1">
      <alignment horizontal="center" vertical="top" wrapText="1"/>
    </xf>
    <xf numFmtId="0" fontId="0" fillId="0" borderId="126" xfId="0" applyBorder="1">
      <alignment vertical="center"/>
    </xf>
    <xf numFmtId="0" fontId="12" fillId="0" borderId="127" xfId="0" applyFont="1" applyBorder="1" applyAlignment="1"/>
    <xf numFmtId="0" fontId="12" fillId="0" borderId="128" xfId="0" applyFont="1" applyBorder="1" applyAlignment="1"/>
    <xf numFmtId="0" fontId="12" fillId="0" borderId="129" xfId="0" applyFont="1" applyBorder="1" applyAlignment="1"/>
    <xf numFmtId="182" fontId="74" fillId="24" borderId="110" xfId="0" applyNumberFormat="1" applyFont="1" applyFill="1" applyBorder="1">
      <alignment vertical="center"/>
    </xf>
    <xf numFmtId="0" fontId="72" fillId="0" borderId="132" xfId="0" applyFont="1" applyBorder="1" applyAlignment="1">
      <alignment horizontal="center" vertical="center"/>
    </xf>
    <xf numFmtId="182" fontId="74" fillId="24" borderId="133" xfId="0" applyNumberFormat="1" applyFont="1" applyFill="1" applyBorder="1">
      <alignment vertical="center"/>
    </xf>
    <xf numFmtId="0" fontId="14" fillId="0" borderId="136" xfId="0" applyFont="1" applyBorder="1" applyAlignment="1">
      <alignment horizontal="center"/>
    </xf>
    <xf numFmtId="179" fontId="10" fillId="0" borderId="137" xfId="48" applyNumberFormat="1" applyFont="1" applyBorder="1" applyAlignment="1">
      <alignment horizontal="center" vertical="center" shrinkToFit="1"/>
    </xf>
    <xf numFmtId="179" fontId="10" fillId="0" borderId="138" xfId="48" applyNumberFormat="1" applyFont="1" applyBorder="1" applyAlignment="1">
      <alignment horizontal="center" vertical="center" shrinkToFit="1"/>
    </xf>
    <xf numFmtId="0" fontId="54" fillId="24" borderId="34" xfId="0" applyFont="1" applyFill="1" applyBorder="1" applyAlignment="1">
      <alignment vertical="top"/>
    </xf>
    <xf numFmtId="178" fontId="59" fillId="0" borderId="141" xfId="0" applyNumberFormat="1" applyFont="1" applyBorder="1" applyAlignment="1"/>
    <xf numFmtId="178" fontId="59" fillId="0" borderId="140" xfId="0" applyNumberFormat="1" applyFont="1" applyBorder="1" applyAlignment="1"/>
    <xf numFmtId="178" fontId="59" fillId="0" borderId="142" xfId="0" applyNumberFormat="1" applyFont="1" applyBorder="1" applyAlignment="1"/>
    <xf numFmtId="178" fontId="59" fillId="0" borderId="120" xfId="0" applyNumberFormat="1" applyFont="1" applyBorder="1" applyAlignment="1"/>
    <xf numFmtId="178" fontId="59" fillId="0" borderId="131" xfId="0" applyNumberFormat="1" applyFont="1" applyBorder="1" applyAlignment="1"/>
    <xf numFmtId="185" fontId="59" fillId="0" borderId="119" xfId="0" applyNumberFormat="1" applyFont="1" applyBorder="1" applyAlignment="1"/>
    <xf numFmtId="0" fontId="54" fillId="0" borderId="101" xfId="0" applyFont="1" applyBorder="1" applyAlignment="1">
      <alignment horizontal="center"/>
    </xf>
    <xf numFmtId="0" fontId="57" fillId="0" borderId="110" xfId="0" applyFont="1" applyBorder="1" applyAlignment="1">
      <alignment horizontal="center"/>
    </xf>
    <xf numFmtId="185" fontId="59" fillId="0" borderId="143" xfId="0" applyNumberFormat="1" applyFont="1" applyBorder="1" applyAlignment="1"/>
    <xf numFmtId="178" fontId="59" fillId="0" borderId="126" xfId="0" applyNumberFormat="1" applyFont="1" applyBorder="1" applyAlignment="1"/>
    <xf numFmtId="178" fontId="59" fillId="0" borderId="109" xfId="0" applyNumberFormat="1" applyFont="1" applyBorder="1" applyAlignment="1"/>
    <xf numFmtId="178" fontId="59" fillId="0" borderId="82" xfId="0" applyNumberFormat="1" applyFont="1" applyBorder="1" applyAlignment="1"/>
    <xf numFmtId="178" fontId="59" fillId="0" borderId="144" xfId="0" applyNumberFormat="1" applyFont="1" applyBorder="1" applyAlignment="1"/>
    <xf numFmtId="178" fontId="59" fillId="0" borderId="130" xfId="0" applyNumberFormat="1" applyFont="1" applyBorder="1" applyAlignment="1"/>
    <xf numFmtId="0" fontId="59" fillId="0" borderId="36" xfId="0" quotePrefix="1" applyFont="1" applyBorder="1" applyAlignment="1">
      <alignment horizontal="center"/>
    </xf>
    <xf numFmtId="2" fontId="59" fillId="0" borderId="10" xfId="0" applyNumberFormat="1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21" fontId="59" fillId="0" borderId="10" xfId="0" applyNumberFormat="1" applyFont="1" applyBorder="1" applyAlignment="1">
      <alignment horizontal="center"/>
    </xf>
    <xf numFmtId="178" fontId="59" fillId="0" borderId="10" xfId="0" applyNumberFormat="1" applyFont="1" applyBorder="1" applyAlignment="1">
      <alignment horizontal="right"/>
    </xf>
    <xf numFmtId="176" fontId="59" fillId="0" borderId="10" xfId="0" applyNumberFormat="1" applyFont="1" applyBorder="1" applyAlignment="1">
      <alignment horizontal="right"/>
    </xf>
    <xf numFmtId="177" fontId="59" fillId="0" borderId="10" xfId="0" applyNumberFormat="1" applyFont="1" applyBorder="1" applyAlignment="1"/>
    <xf numFmtId="21" fontId="59" fillId="0" borderId="58" xfId="0" applyNumberFormat="1" applyFont="1" applyBorder="1" applyAlignment="1">
      <alignment horizontal="left"/>
    </xf>
    <xf numFmtId="0" fontId="59" fillId="0" borderId="26" xfId="0" applyFont="1" applyBorder="1" applyAlignment="1"/>
    <xf numFmtId="0" fontId="59" fillId="0" borderId="37" xfId="0" quotePrefix="1" applyFont="1" applyBorder="1" applyAlignment="1">
      <alignment horizontal="center"/>
    </xf>
    <xf numFmtId="2" fontId="59" fillId="0" borderId="11" xfId="0" applyNumberFormat="1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21" fontId="59" fillId="0" borderId="11" xfId="0" applyNumberFormat="1" applyFont="1" applyBorder="1" applyAlignment="1">
      <alignment horizontal="center"/>
    </xf>
    <xf numFmtId="178" fontId="59" fillId="0" borderId="11" xfId="0" applyNumberFormat="1" applyFont="1" applyBorder="1" applyAlignment="1">
      <alignment horizontal="right"/>
    </xf>
    <xf numFmtId="176" fontId="59" fillId="0" borderId="11" xfId="0" applyNumberFormat="1" applyFont="1" applyBorder="1" applyAlignment="1">
      <alignment horizontal="right"/>
    </xf>
    <xf numFmtId="177" fontId="59" fillId="0" borderId="11" xfId="0" applyNumberFormat="1" applyFont="1" applyBorder="1" applyAlignment="1"/>
    <xf numFmtId="181" fontId="59" fillId="0" borderId="11" xfId="0" applyNumberFormat="1" applyFont="1" applyBorder="1" applyAlignment="1">
      <alignment horizontal="right" vertical="top"/>
    </xf>
    <xf numFmtId="21" fontId="59" fillId="0" borderId="67" xfId="0" applyNumberFormat="1" applyFont="1" applyBorder="1" applyAlignment="1">
      <alignment horizontal="center"/>
    </xf>
    <xf numFmtId="0" fontId="59" fillId="0" borderId="27" xfId="0" applyFont="1" applyBorder="1" applyAlignment="1"/>
    <xf numFmtId="21" fontId="57" fillId="0" borderId="67" xfId="0" applyNumberFormat="1" applyFont="1" applyBorder="1" applyAlignment="1">
      <alignment horizontal="left" vertical="top"/>
    </xf>
    <xf numFmtId="0" fontId="59" fillId="0" borderId="38" xfId="0" quotePrefix="1" applyFont="1" applyBorder="1" applyAlignment="1">
      <alignment horizontal="center"/>
    </xf>
    <xf numFmtId="2" fontId="59" fillId="0" borderId="12" xfId="0" applyNumberFormat="1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21" fontId="59" fillId="0" borderId="12" xfId="0" applyNumberFormat="1" applyFont="1" applyBorder="1" applyAlignment="1">
      <alignment horizontal="center"/>
    </xf>
    <xf numFmtId="176" fontId="59" fillId="0" borderId="49" xfId="0" applyNumberFormat="1" applyFont="1" applyBorder="1" applyAlignment="1"/>
    <xf numFmtId="178" fontId="59" fillId="0" borderId="49" xfId="0" applyNumberFormat="1" applyFont="1" applyBorder="1" applyAlignment="1">
      <alignment horizontal="right"/>
    </xf>
    <xf numFmtId="0" fontId="59" fillId="0" borderId="49" xfId="0" applyFont="1" applyBorder="1" applyAlignment="1">
      <alignment horizontal="center"/>
    </xf>
    <xf numFmtId="176" fontId="59" fillId="0" borderId="49" xfId="0" applyNumberFormat="1" applyFont="1" applyBorder="1" applyAlignment="1">
      <alignment horizontal="right"/>
    </xf>
    <xf numFmtId="21" fontId="59" fillId="0" borderId="49" xfId="0" applyNumberFormat="1" applyFont="1" applyBorder="1" applyAlignment="1">
      <alignment horizontal="center"/>
    </xf>
    <xf numFmtId="179" fontId="59" fillId="0" borderId="49" xfId="0" applyNumberFormat="1" applyFont="1" applyBorder="1" applyAlignment="1"/>
    <xf numFmtId="177" fontId="59" fillId="0" borderId="49" xfId="0" applyNumberFormat="1" applyFont="1" applyBorder="1" applyAlignment="1"/>
    <xf numFmtId="21" fontId="59" fillId="0" borderId="74" xfId="0" applyNumberFormat="1" applyFont="1" applyBorder="1" applyAlignment="1">
      <alignment horizontal="center"/>
    </xf>
    <xf numFmtId="0" fontId="59" fillId="0" borderId="28" xfId="0" applyFont="1" applyBorder="1" applyAlignment="1"/>
    <xf numFmtId="21" fontId="59" fillId="0" borderId="67" xfId="0" applyNumberFormat="1" applyFont="1" applyBorder="1" applyAlignment="1">
      <alignment horizontal="left"/>
    </xf>
    <xf numFmtId="181" fontId="59" fillId="0" borderId="12" xfId="0" applyNumberFormat="1" applyFont="1" applyBorder="1" applyAlignment="1">
      <alignment horizontal="right" vertical="top"/>
    </xf>
    <xf numFmtId="21" fontId="59" fillId="0" borderId="74" xfId="0" applyNumberFormat="1" applyFont="1" applyBorder="1" applyAlignment="1">
      <alignment horizontal="left"/>
    </xf>
    <xf numFmtId="21" fontId="59" fillId="0" borderId="63" xfId="0" applyNumberFormat="1" applyFont="1" applyBorder="1" applyAlignment="1">
      <alignment horizontal="left"/>
    </xf>
    <xf numFmtId="0" fontId="59" fillId="0" borderId="39" xfId="0" quotePrefix="1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180" fontId="59" fillId="0" borderId="66" xfId="0" applyNumberFormat="1" applyFont="1" applyBorder="1" applyAlignment="1">
      <alignment horizontal="left" vertical="center"/>
    </xf>
    <xf numFmtId="0" fontId="59" fillId="0" borderId="40" xfId="0" applyFont="1" applyBorder="1" applyAlignment="1"/>
    <xf numFmtId="180" fontId="59" fillId="0" borderId="69" xfId="0" applyNumberFormat="1" applyFont="1" applyBorder="1" applyAlignment="1">
      <alignment horizontal="left"/>
    </xf>
    <xf numFmtId="180" fontId="59" fillId="0" borderId="47" xfId="0" applyNumberFormat="1" applyFont="1" applyBorder="1" applyAlignment="1">
      <alignment horizontal="center"/>
    </xf>
    <xf numFmtId="21" fontId="59" fillId="0" borderId="13" xfId="0" applyNumberFormat="1" applyFont="1" applyBorder="1" applyAlignment="1">
      <alignment horizontal="center"/>
    </xf>
    <xf numFmtId="180" fontId="57" fillId="0" borderId="66" xfId="0" applyNumberFormat="1" applyFont="1" applyBorder="1">
      <alignment vertical="center"/>
    </xf>
    <xf numFmtId="180" fontId="57" fillId="0" borderId="69" xfId="0" applyNumberFormat="1" applyFont="1" applyBorder="1">
      <alignment vertical="center"/>
    </xf>
    <xf numFmtId="178" fontId="59" fillId="0" borderId="12" xfId="0" applyNumberFormat="1" applyFont="1" applyBorder="1" applyAlignment="1">
      <alignment horizontal="right"/>
    </xf>
    <xf numFmtId="176" fontId="59" fillId="0" borderId="12" xfId="0" applyNumberFormat="1" applyFont="1" applyBorder="1" applyAlignment="1">
      <alignment horizontal="right"/>
    </xf>
    <xf numFmtId="177" fontId="59" fillId="0" borderId="12" xfId="0" applyNumberFormat="1" applyFont="1" applyBorder="1" applyAlignment="1"/>
    <xf numFmtId="0" fontId="47" fillId="24" borderId="104" xfId="0" applyFont="1" applyFill="1" applyBorder="1" applyAlignment="1">
      <alignment horizontal="left" vertical="top" wrapText="1"/>
    </xf>
    <xf numFmtId="0" fontId="57" fillId="24" borderId="29" xfId="0" applyFont="1" applyFill="1" applyBorder="1" applyAlignment="1"/>
    <xf numFmtId="185" fontId="59" fillId="0" borderId="145" xfId="0" applyNumberFormat="1" applyFont="1" applyBorder="1" applyAlignment="1"/>
    <xf numFmtId="0" fontId="57" fillId="0" borderId="140" xfId="0" applyFont="1" applyBorder="1" applyAlignment="1">
      <alignment horizontal="center"/>
    </xf>
    <xf numFmtId="0" fontId="54" fillId="0" borderId="15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46" xfId="0" applyFont="1" applyBorder="1" applyAlignment="1">
      <alignment horizontal="center"/>
    </xf>
    <xf numFmtId="0" fontId="57" fillId="0" borderId="124" xfId="0" applyFont="1" applyBorder="1" applyAlignment="1">
      <alignment horizontal="center"/>
    </xf>
    <xf numFmtId="0" fontId="57" fillId="0" borderId="130" xfId="0" applyFont="1" applyBorder="1" applyAlignment="1">
      <alignment horizontal="center"/>
    </xf>
    <xf numFmtId="178" fontId="59" fillId="0" borderId="124" xfId="0" applyNumberFormat="1" applyFont="1" applyBorder="1" applyAlignment="1"/>
    <xf numFmtId="178" fontId="59" fillId="0" borderId="146" xfId="0" applyNumberFormat="1" applyFont="1" applyBorder="1" applyAlignment="1"/>
    <xf numFmtId="0" fontId="47" fillId="24" borderId="0" xfId="0" applyFont="1" applyFill="1" applyAlignment="1">
      <alignment vertical="top" wrapText="1"/>
    </xf>
    <xf numFmtId="0" fontId="47" fillId="24" borderId="110" xfId="0" applyFont="1" applyFill="1" applyBorder="1" applyAlignment="1">
      <alignment vertical="top" wrapText="1"/>
    </xf>
    <xf numFmtId="0" fontId="47" fillId="0" borderId="92" xfId="0" applyFont="1" applyBorder="1" applyAlignment="1">
      <alignment vertical="top" wrapText="1"/>
    </xf>
    <xf numFmtId="0" fontId="47" fillId="0" borderId="90" xfId="0" applyFont="1" applyBorder="1" applyAlignment="1">
      <alignment vertical="top" wrapText="1"/>
    </xf>
    <xf numFmtId="0" fontId="47" fillId="0" borderId="83" xfId="0" applyFont="1" applyBorder="1" applyAlignment="1">
      <alignment vertical="top" wrapText="1"/>
    </xf>
    <xf numFmtId="0" fontId="47" fillId="24" borderId="92" xfId="0" applyFont="1" applyFill="1" applyBorder="1" applyAlignment="1">
      <alignment horizontal="left" vertical="top" wrapText="1"/>
    </xf>
    <xf numFmtId="0" fontId="57" fillId="28" borderId="29" xfId="0" applyFont="1" applyFill="1" applyBorder="1" applyAlignment="1">
      <alignment horizontal="center"/>
    </xf>
    <xf numFmtId="0" fontId="54" fillId="0" borderId="102" xfId="0" applyFont="1" applyBorder="1" applyAlignment="1">
      <alignment horizontal="center"/>
    </xf>
    <xf numFmtId="178" fontId="59" fillId="0" borderId="26" xfId="0" applyNumberFormat="1" applyFont="1" applyBorder="1" applyAlignment="1"/>
    <xf numFmtId="178" fontId="59" fillId="0" borderId="150" xfId="0" applyNumberFormat="1" applyFont="1" applyBorder="1" applyAlignment="1"/>
    <xf numFmtId="178" fontId="59" fillId="0" borderId="10" xfId="0" applyNumberFormat="1" applyFont="1" applyBorder="1" applyAlignment="1"/>
    <xf numFmtId="0" fontId="0" fillId="0" borderId="145" xfId="0" applyBorder="1">
      <alignment vertical="center"/>
    </xf>
    <xf numFmtId="0" fontId="57" fillId="28" borderId="149" xfId="0" applyFont="1" applyFill="1" applyBorder="1" applyAlignment="1">
      <alignment horizontal="center"/>
    </xf>
    <xf numFmtId="181" fontId="59" fillId="0" borderId="10" xfId="0" applyNumberFormat="1" applyFont="1" applyBorder="1" applyAlignment="1">
      <alignment horizontal="right"/>
    </xf>
    <xf numFmtId="181" fontId="59" fillId="0" borderId="146" xfId="0" applyNumberFormat="1" applyFont="1" applyBorder="1" applyAlignment="1">
      <alignment horizontal="right"/>
    </xf>
    <xf numFmtId="0" fontId="57" fillId="28" borderId="43" xfId="0" applyFont="1" applyFill="1" applyBorder="1" applyAlignment="1">
      <alignment horizontal="center"/>
    </xf>
    <xf numFmtId="0" fontId="57" fillId="28" borderId="133" xfId="0" applyFont="1" applyFill="1" applyBorder="1" applyAlignment="1">
      <alignment horizontal="center"/>
    </xf>
    <xf numFmtId="181" fontId="59" fillId="0" borderId="45" xfId="0" applyNumberFormat="1" applyFont="1" applyBorder="1" applyAlignment="1">
      <alignment horizontal="right" vertical="top"/>
    </xf>
    <xf numFmtId="181" fontId="59" fillId="0" borderId="126" xfId="0" applyNumberFormat="1" applyFont="1" applyBorder="1" applyAlignment="1">
      <alignment horizontal="right" vertical="top"/>
    </xf>
    <xf numFmtId="181" fontId="59" fillId="0" borderId="146" xfId="0" applyNumberFormat="1" applyFont="1" applyBorder="1" applyAlignment="1">
      <alignment horizontal="right" vertical="top"/>
    </xf>
    <xf numFmtId="181" fontId="59" fillId="0" borderId="131" xfId="0" applyNumberFormat="1" applyFont="1" applyBorder="1" applyAlignment="1">
      <alignment horizontal="right" vertical="top"/>
    </xf>
    <xf numFmtId="181" fontId="59" fillId="0" borderId="151" xfId="0" applyNumberFormat="1" applyFont="1" applyBorder="1" applyAlignment="1">
      <alignment horizontal="right" vertical="top"/>
    </xf>
    <xf numFmtId="181" fontId="59" fillId="0" borderId="13" xfId="0" applyNumberFormat="1" applyFont="1" applyBorder="1" applyAlignment="1">
      <alignment horizontal="right" vertical="top"/>
    </xf>
    <xf numFmtId="21" fontId="59" fillId="24" borderId="133" xfId="0" applyNumberFormat="1" applyFont="1" applyFill="1" applyBorder="1" applyAlignment="1">
      <alignment horizontal="left"/>
    </xf>
    <xf numFmtId="0" fontId="72" fillId="0" borderId="152" xfId="0" applyFont="1" applyBorder="1" applyAlignment="1">
      <alignment horizontal="center" vertical="center"/>
    </xf>
    <xf numFmtId="0" fontId="73" fillId="24" borderId="125" xfId="0" applyFont="1" applyFill="1" applyBorder="1" applyAlignment="1">
      <alignment horizontal="right" vertical="center" shrinkToFit="1"/>
    </xf>
    <xf numFmtId="0" fontId="73" fillId="24" borderId="153" xfId="0" applyFont="1" applyFill="1" applyBorder="1" applyAlignment="1">
      <alignment horizontal="center" vertical="center" shrinkToFit="1"/>
    </xf>
    <xf numFmtId="182" fontId="74" fillId="24" borderId="154" xfId="0" applyNumberFormat="1" applyFont="1" applyFill="1" applyBorder="1">
      <alignment vertical="center"/>
    </xf>
    <xf numFmtId="182" fontId="74" fillId="24" borderId="155" xfId="0" applyNumberFormat="1" applyFont="1" applyFill="1" applyBorder="1">
      <alignment vertical="center"/>
    </xf>
    <xf numFmtId="182" fontId="74" fillId="24" borderId="156" xfId="0" applyNumberFormat="1" applyFont="1" applyFill="1" applyBorder="1">
      <alignment vertical="center"/>
    </xf>
    <xf numFmtId="0" fontId="10" fillId="24" borderId="153" xfId="0" applyFont="1" applyFill="1" applyBorder="1" applyAlignment="1">
      <alignment horizontal="center" vertical="center" shrinkToFit="1"/>
    </xf>
    <xf numFmtId="0" fontId="73" fillId="24" borderId="155" xfId="0" applyFont="1" applyFill="1" applyBorder="1" applyAlignment="1">
      <alignment horizontal="right" vertical="center" shrinkToFit="1"/>
    </xf>
    <xf numFmtId="182" fontId="73" fillId="0" borderId="154" xfId="0" applyNumberFormat="1" applyFont="1" applyBorder="1">
      <alignment vertical="center"/>
    </xf>
    <xf numFmtId="182" fontId="73" fillId="0" borderId="155" xfId="0" applyNumberFormat="1" applyFont="1" applyBorder="1">
      <alignment vertical="center"/>
    </xf>
    <xf numFmtId="182" fontId="73" fillId="0" borderId="156" xfId="0" applyNumberFormat="1" applyFont="1" applyBorder="1">
      <alignment vertical="center"/>
    </xf>
    <xf numFmtId="0" fontId="73" fillId="24" borderId="157" xfId="0" applyFont="1" applyFill="1" applyBorder="1" applyAlignment="1">
      <alignment horizontal="right" vertical="center" shrinkToFit="1"/>
    </xf>
    <xf numFmtId="182" fontId="74" fillId="24" borderId="158" xfId="0" applyNumberFormat="1" applyFont="1" applyFill="1" applyBorder="1">
      <alignment vertical="center"/>
    </xf>
    <xf numFmtId="182" fontId="74" fillId="24" borderId="157" xfId="0" applyNumberFormat="1" applyFont="1" applyFill="1" applyBorder="1">
      <alignment vertical="center"/>
    </xf>
    <xf numFmtId="182" fontId="74" fillId="24" borderId="159" xfId="0" applyNumberFormat="1" applyFont="1" applyFill="1" applyBorder="1">
      <alignment vertical="center"/>
    </xf>
    <xf numFmtId="0" fontId="0" fillId="0" borderId="146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182" fontId="69" fillId="0" borderId="130" xfId="0" quotePrefix="1" applyNumberFormat="1" applyFont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10" fillId="0" borderId="123" xfId="48" applyFont="1" applyBorder="1" applyAlignment="1">
      <alignment horizontal="center" vertical="top" wrapText="1"/>
    </xf>
    <xf numFmtId="0" fontId="10" fillId="0" borderId="160" xfId="48" applyFont="1" applyBorder="1" applyAlignment="1">
      <alignment horizontal="center" vertical="top" wrapText="1"/>
    </xf>
    <xf numFmtId="179" fontId="10" fillId="0" borderId="161" xfId="48" applyNumberFormat="1" applyFont="1" applyBorder="1" applyAlignment="1">
      <alignment horizontal="center" vertical="center" shrinkToFit="1"/>
    </xf>
    <xf numFmtId="0" fontId="57" fillId="0" borderId="133" xfId="0" applyFont="1" applyBorder="1" applyAlignment="1">
      <alignment horizontal="center"/>
    </xf>
    <xf numFmtId="178" fontId="59" fillId="0" borderId="58" xfId="0" applyNumberFormat="1" applyFont="1" applyBorder="1" applyAlignment="1"/>
    <xf numFmtId="178" fontId="59" fillId="0" borderId="145" xfId="0" applyNumberFormat="1" applyFont="1" applyBorder="1" applyAlignment="1"/>
    <xf numFmtId="0" fontId="57" fillId="28" borderId="44" xfId="0" applyFont="1" applyFill="1" applyBorder="1" applyAlignment="1">
      <alignment horizontal="center"/>
    </xf>
    <xf numFmtId="178" fontId="59" fillId="0" borderId="143" xfId="0" applyNumberFormat="1" applyFont="1" applyBorder="1" applyAlignment="1"/>
    <xf numFmtId="178" fontId="59" fillId="0" borderId="83" xfId="0" applyNumberFormat="1" applyFont="1" applyBorder="1" applyAlignment="1"/>
    <xf numFmtId="0" fontId="54" fillId="0" borderId="98" xfId="0" applyFont="1" applyBorder="1" applyAlignment="1">
      <alignment horizontal="center"/>
    </xf>
    <xf numFmtId="0" fontId="57" fillId="0" borderId="143" xfId="0" applyFont="1" applyBorder="1" applyAlignment="1">
      <alignment horizontal="center"/>
    </xf>
    <xf numFmtId="0" fontId="0" fillId="0" borderId="162" xfId="0" applyBorder="1" applyAlignment="1"/>
    <xf numFmtId="14" fontId="0" fillId="0" borderId="82" xfId="0" applyNumberFormat="1" applyBorder="1" applyAlignment="1"/>
    <xf numFmtId="0" fontId="0" fillId="25" borderId="82" xfId="0" applyFill="1" applyBorder="1" applyAlignment="1">
      <alignment horizontal="left" vertical="center"/>
    </xf>
    <xf numFmtId="0" fontId="0" fillId="25" borderId="82" xfId="0" applyFill="1" applyBorder="1" applyAlignment="1"/>
    <xf numFmtId="20" fontId="0" fillId="0" borderId="83" xfId="0" applyNumberFormat="1" applyBorder="1" applyAlignment="1"/>
    <xf numFmtId="0" fontId="0" fillId="0" borderId="46" xfId="0" applyBorder="1" applyAlignment="1"/>
    <xf numFmtId="0" fontId="0" fillId="0" borderId="163" xfId="0" applyBorder="1" applyAlignment="1"/>
    <xf numFmtId="20" fontId="0" fillId="0" borderId="130" xfId="0" applyNumberFormat="1" applyBorder="1">
      <alignment vertical="center"/>
    </xf>
    <xf numFmtId="20" fontId="46" fillId="0" borderId="130" xfId="0" applyNumberFormat="1" applyFont="1" applyBorder="1">
      <alignment vertical="center"/>
    </xf>
    <xf numFmtId="14" fontId="0" fillId="0" borderId="146" xfId="0" applyNumberFormat="1" applyBorder="1" applyAlignment="1"/>
    <xf numFmtId="0" fontId="0" fillId="25" borderId="146" xfId="0" applyFill="1" applyBorder="1" applyAlignment="1">
      <alignment horizontal="left" vertical="center"/>
    </xf>
    <xf numFmtId="0" fontId="0" fillId="25" borderId="146" xfId="0" applyFill="1" applyBorder="1" applyAlignment="1"/>
    <xf numFmtId="20" fontId="0" fillId="0" borderId="145" xfId="0" applyNumberFormat="1" applyBorder="1" applyAlignment="1"/>
    <xf numFmtId="20" fontId="0" fillId="0" borderId="131" xfId="0" applyNumberFormat="1" applyBorder="1">
      <alignment vertical="center"/>
    </xf>
    <xf numFmtId="20" fontId="0" fillId="0" borderId="164" xfId="0" applyNumberFormat="1" applyBorder="1">
      <alignment vertical="center"/>
    </xf>
    <xf numFmtId="0" fontId="0" fillId="29" borderId="18" xfId="0" applyFill="1" applyBorder="1" applyAlignment="1">
      <alignment horizontal="center" vertical="center"/>
    </xf>
    <xf numFmtId="182" fontId="0" fillId="0" borderId="14" xfId="0" applyNumberFormat="1" applyBorder="1">
      <alignment vertical="center"/>
    </xf>
    <xf numFmtId="0" fontId="10" fillId="29" borderId="18" xfId="0" applyFont="1" applyFill="1" applyBorder="1" applyAlignment="1">
      <alignment horizontal="center"/>
    </xf>
    <xf numFmtId="0" fontId="0" fillId="29" borderId="19" xfId="0" applyFill="1" applyBorder="1">
      <alignment vertical="center"/>
    </xf>
    <xf numFmtId="0" fontId="0" fillId="29" borderId="20" xfId="0" applyFill="1" applyBorder="1">
      <alignment vertical="center"/>
    </xf>
    <xf numFmtId="0" fontId="0" fillId="29" borderId="18" xfId="0" applyFill="1" applyBorder="1">
      <alignment vertical="center"/>
    </xf>
    <xf numFmtId="0" fontId="0" fillId="29" borderId="48" xfId="0" applyFill="1" applyBorder="1">
      <alignment vertical="center"/>
    </xf>
    <xf numFmtId="0" fontId="0" fillId="29" borderId="19" xfId="0" applyFill="1" applyBorder="1" applyAlignment="1">
      <alignment horizontal="center" vertical="center"/>
    </xf>
    <xf numFmtId="0" fontId="0" fillId="29" borderId="20" xfId="0" applyFill="1" applyBorder="1" applyAlignment="1">
      <alignment horizontal="center" vertical="center"/>
    </xf>
    <xf numFmtId="180" fontId="4" fillId="29" borderId="18" xfId="0" applyNumberFormat="1" applyFont="1" applyFill="1" applyBorder="1" applyAlignment="1">
      <alignment horizontal="center" vertical="center"/>
    </xf>
    <xf numFmtId="0" fontId="0" fillId="30" borderId="46" xfId="0" applyFill="1" applyBorder="1" applyAlignment="1">
      <alignment horizontal="center" vertical="center"/>
    </xf>
    <xf numFmtId="0" fontId="0" fillId="0" borderId="90" xfId="0" applyBorder="1" applyAlignment="1"/>
    <xf numFmtId="56" fontId="4" fillId="29" borderId="165" xfId="0" applyNumberFormat="1" applyFont="1" applyFill="1" applyBorder="1" applyAlignment="1">
      <alignment horizontal="right" vertical="center"/>
    </xf>
    <xf numFmtId="0" fontId="0" fillId="30" borderId="130" xfId="0" applyFill="1" applyBorder="1" applyAlignment="1">
      <alignment horizontal="center" vertical="center"/>
    </xf>
    <xf numFmtId="56" fontId="4" fillId="29" borderId="20" xfId="0" applyNumberFormat="1" applyFont="1" applyFill="1" applyBorder="1" applyAlignment="1">
      <alignment horizontal="right" vertical="center"/>
    </xf>
    <xf numFmtId="0" fontId="0" fillId="30" borderId="131" xfId="0" applyFill="1" applyBorder="1" applyAlignment="1">
      <alignment horizontal="center" vertical="center"/>
    </xf>
    <xf numFmtId="0" fontId="10" fillId="29" borderId="165" xfId="0" applyFont="1" applyFill="1" applyBorder="1" applyAlignment="1">
      <alignment horizontal="center"/>
    </xf>
    <xf numFmtId="0" fontId="10" fillId="29" borderId="20" xfId="0" applyFont="1" applyFill="1" applyBorder="1" applyAlignment="1">
      <alignment horizontal="center"/>
    </xf>
    <xf numFmtId="0" fontId="0" fillId="30" borderId="32" xfId="0" applyFill="1" applyBorder="1" applyAlignment="1"/>
    <xf numFmtId="0" fontId="0" fillId="30" borderId="146" xfId="0" applyFill="1" applyBorder="1">
      <alignment vertical="center"/>
    </xf>
    <xf numFmtId="0" fontId="0" fillId="30" borderId="82" xfId="0" applyFill="1" applyBorder="1">
      <alignment vertical="center"/>
    </xf>
    <xf numFmtId="0" fontId="53" fillId="28" borderId="0" xfId="0" applyFont="1" applyFill="1">
      <alignment vertical="center"/>
    </xf>
    <xf numFmtId="0" fontId="57" fillId="29" borderId="24" xfId="0" applyFont="1" applyFill="1" applyBorder="1" applyAlignment="1">
      <alignment horizontal="center"/>
    </xf>
    <xf numFmtId="0" fontId="51" fillId="29" borderId="34" xfId="0" applyFont="1" applyFill="1" applyBorder="1" applyAlignment="1">
      <alignment horizontal="right" vertical="center"/>
    </xf>
    <xf numFmtId="0" fontId="51" fillId="29" borderId="32" xfId="0" applyFont="1" applyFill="1" applyBorder="1" applyAlignment="1">
      <alignment horizontal="center" vertical="center"/>
    </xf>
    <xf numFmtId="0" fontId="57" fillId="0" borderId="149" xfId="0" applyFont="1" applyBorder="1" applyAlignment="1">
      <alignment horizontal="center"/>
    </xf>
    <xf numFmtId="182" fontId="54" fillId="29" borderId="33" xfId="0" applyNumberFormat="1" applyFont="1" applyFill="1" applyBorder="1" applyAlignment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130" xfId="0" applyFill="1" applyBorder="1" applyAlignment="1">
      <alignment horizontal="center" vertical="center"/>
    </xf>
    <xf numFmtId="180" fontId="4" fillId="29" borderId="165" xfId="0" applyNumberFormat="1" applyFont="1" applyFill="1" applyBorder="1" applyAlignment="1">
      <alignment horizontal="center" vertical="center"/>
    </xf>
    <xf numFmtId="180" fontId="4" fillId="29" borderId="20" xfId="0" applyNumberFormat="1" applyFont="1" applyFill="1" applyBorder="1" applyAlignment="1">
      <alignment horizontal="center" vertical="center"/>
    </xf>
    <xf numFmtId="0" fontId="8" fillId="29" borderId="166" xfId="0" applyFont="1" applyFill="1" applyBorder="1" applyAlignment="1">
      <alignment horizontal="center"/>
    </xf>
    <xf numFmtId="14" fontId="45" fillId="29" borderId="96" xfId="0" applyNumberFormat="1" applyFont="1" applyFill="1" applyBorder="1" applyAlignment="1">
      <alignment horizontal="left" vertical="center"/>
    </xf>
    <xf numFmtId="38" fontId="45" fillId="29" borderId="96" xfId="46" applyFont="1" applyFill="1" applyBorder="1" applyAlignment="1">
      <alignment horizontal="left" vertical="center"/>
    </xf>
    <xf numFmtId="0" fontId="0" fillId="32" borderId="32" xfId="0" applyFill="1" applyBorder="1" applyAlignment="1"/>
    <xf numFmtId="0" fontId="0" fillId="32" borderId="146" xfId="0" applyFill="1" applyBorder="1" applyAlignment="1">
      <alignment horizontal="left" vertical="center"/>
    </xf>
    <xf numFmtId="0" fontId="0" fillId="32" borderId="82" xfId="0" applyFill="1" applyBorder="1" applyAlignment="1">
      <alignment horizontal="left" vertical="center"/>
    </xf>
    <xf numFmtId="0" fontId="0" fillId="30" borderId="0" xfId="0" applyFill="1" applyAlignment="1">
      <alignment horizontal="center" vertical="center"/>
    </xf>
    <xf numFmtId="178" fontId="59" fillId="0" borderId="155" xfId="0" applyNumberFormat="1" applyFont="1" applyBorder="1" applyAlignment="1"/>
    <xf numFmtId="14" fontId="0" fillId="0" borderId="155" xfId="0" applyNumberFormat="1" applyBorder="1" applyAlignment="1"/>
    <xf numFmtId="0" fontId="0" fillId="30" borderId="155" xfId="0" applyFill="1" applyBorder="1">
      <alignment vertical="center"/>
    </xf>
    <xf numFmtId="0" fontId="0" fillId="32" borderId="155" xfId="0" applyFill="1" applyBorder="1" applyAlignment="1">
      <alignment horizontal="left" vertical="center"/>
    </xf>
    <xf numFmtId="0" fontId="0" fillId="25" borderId="155" xfId="0" applyFill="1" applyBorder="1" applyAlignment="1">
      <alignment horizontal="left" vertical="center"/>
    </xf>
    <xf numFmtId="0" fontId="0" fillId="25" borderId="155" xfId="0" applyFill="1" applyBorder="1" applyAlignment="1"/>
    <xf numFmtId="20" fontId="0" fillId="0" borderId="156" xfId="0" applyNumberFormat="1" applyBorder="1" applyAlignment="1"/>
    <xf numFmtId="0" fontId="0" fillId="30" borderId="0" xfId="0" applyFill="1">
      <alignment vertical="center"/>
    </xf>
    <xf numFmtId="0" fontId="0" fillId="31" borderId="155" xfId="0" applyFill="1" applyBorder="1">
      <alignment vertical="center"/>
    </xf>
    <xf numFmtId="0" fontId="0" fillId="0" borderId="155" xfId="0" applyBorder="1" applyAlignment="1">
      <alignment horizontal="left" vertical="center"/>
    </xf>
    <xf numFmtId="0" fontId="53" fillId="0" borderId="0" xfId="0" applyFont="1" applyAlignment="1">
      <alignment horizontal="center"/>
    </xf>
    <xf numFmtId="179" fontId="59" fillId="0" borderId="11" xfId="0" applyNumberFormat="1" applyFont="1" applyBorder="1" applyAlignment="1">
      <alignment horizontal="center"/>
    </xf>
    <xf numFmtId="182" fontId="59" fillId="0" borderId="11" xfId="0" applyNumberFormat="1" applyFont="1" applyBorder="1" applyAlignment="1">
      <alignment horizontal="center" shrinkToFit="1"/>
    </xf>
    <xf numFmtId="182" fontId="59" fillId="0" borderId="13" xfId="0" applyNumberFormat="1" applyFont="1" applyBorder="1" applyAlignment="1">
      <alignment horizontal="center" shrinkToFit="1"/>
    </xf>
    <xf numFmtId="182" fontId="59" fillId="0" borderId="12" xfId="0" applyNumberFormat="1" applyFont="1" applyBorder="1" applyAlignment="1">
      <alignment horizontal="center" shrinkToFit="1"/>
    </xf>
    <xf numFmtId="0" fontId="53" fillId="0" borderId="0" xfId="0" applyFont="1" applyAlignment="1">
      <alignment horizontal="center" vertical="center"/>
    </xf>
    <xf numFmtId="182" fontId="59" fillId="0" borderId="10" xfId="0" applyNumberFormat="1" applyFont="1" applyBorder="1" applyAlignment="1">
      <alignment horizontal="center" shrinkToFit="1"/>
    </xf>
    <xf numFmtId="179" fontId="59" fillId="0" borderId="13" xfId="0" applyNumberFormat="1" applyFont="1" applyBorder="1" applyAlignment="1">
      <alignment horizontal="center"/>
    </xf>
    <xf numFmtId="0" fontId="57" fillId="28" borderId="0" xfId="0" applyFont="1" applyFill="1" applyAlignment="1"/>
    <xf numFmtId="56" fontId="10" fillId="33" borderId="58" xfId="0" applyNumberFormat="1" applyFont="1" applyFill="1" applyBorder="1" applyAlignment="1">
      <alignment vertical="center" shrinkToFit="1"/>
    </xf>
    <xf numFmtId="183" fontId="10" fillId="33" borderId="59" xfId="0" applyNumberFormat="1" applyFont="1" applyFill="1" applyBorder="1" applyAlignment="1">
      <alignment vertical="center" shrinkToFit="1"/>
    </xf>
    <xf numFmtId="183" fontId="10" fillId="33" borderId="60" xfId="0" applyNumberFormat="1" applyFont="1" applyFill="1" applyBorder="1" applyAlignment="1">
      <alignment vertical="center" shrinkToFit="1"/>
    </xf>
    <xf numFmtId="0" fontId="8" fillId="33" borderId="61" xfId="0" applyFont="1" applyFill="1" applyBorder="1" applyAlignment="1">
      <alignment horizontal="center" vertical="center" shrinkToFit="1"/>
    </xf>
    <xf numFmtId="0" fontId="10" fillId="33" borderId="62" xfId="0" applyFont="1" applyFill="1" applyBorder="1" applyAlignment="1">
      <alignment horizontal="center" vertical="center" shrinkToFit="1"/>
    </xf>
    <xf numFmtId="176" fontId="8" fillId="33" borderId="63" xfId="0" applyNumberFormat="1" applyFont="1" applyFill="1" applyBorder="1" applyAlignment="1">
      <alignment horizontal="center" vertical="center" shrinkToFit="1"/>
    </xf>
    <xf numFmtId="0" fontId="8" fillId="33" borderId="64" xfId="0" applyFont="1" applyFill="1" applyBorder="1" applyAlignment="1">
      <alignment horizontal="center" vertical="center" shrinkToFit="1"/>
    </xf>
    <xf numFmtId="0" fontId="8" fillId="33" borderId="65" xfId="0" applyFont="1" applyFill="1" applyBorder="1" applyAlignment="1">
      <alignment horizontal="center" vertical="center" shrinkToFit="1"/>
    </xf>
    <xf numFmtId="176" fontId="8" fillId="33" borderId="66" xfId="0" applyNumberFormat="1" applyFont="1" applyFill="1" applyBorder="1" applyAlignment="1">
      <alignment horizontal="center" vertical="center" shrinkToFit="1"/>
    </xf>
    <xf numFmtId="0" fontId="8" fillId="33" borderId="67" xfId="0" applyFont="1" applyFill="1" applyBorder="1" applyAlignment="1">
      <alignment horizontal="center" vertical="center" shrinkToFit="1"/>
    </xf>
    <xf numFmtId="0" fontId="8" fillId="33" borderId="68" xfId="0" applyFont="1" applyFill="1" applyBorder="1" applyAlignment="1">
      <alignment horizontal="center" vertical="center" shrinkToFit="1"/>
    </xf>
    <xf numFmtId="0" fontId="8" fillId="33" borderId="69" xfId="0" applyFont="1" applyFill="1" applyBorder="1" applyAlignment="1">
      <alignment horizontal="center" vertical="center" shrinkToFit="1"/>
    </xf>
    <xf numFmtId="176" fontId="8" fillId="33" borderId="67" xfId="0" applyNumberFormat="1" applyFont="1" applyFill="1" applyBorder="1" applyAlignment="1">
      <alignment horizontal="center" vertical="center" shrinkToFit="1"/>
    </xf>
    <xf numFmtId="176" fontId="8" fillId="33" borderId="69" xfId="0" applyNumberFormat="1" applyFont="1" applyFill="1" applyBorder="1" applyAlignment="1">
      <alignment horizontal="center" vertical="center" shrinkToFit="1"/>
    </xf>
    <xf numFmtId="176" fontId="8" fillId="33" borderId="70" xfId="0" applyNumberFormat="1" applyFont="1" applyFill="1" applyBorder="1" applyAlignment="1">
      <alignment horizontal="center" vertical="center" shrinkToFit="1"/>
    </xf>
    <xf numFmtId="176" fontId="8" fillId="33" borderId="71" xfId="0" applyNumberFormat="1" applyFont="1" applyFill="1" applyBorder="1" applyAlignment="1">
      <alignment horizontal="center" vertical="center" shrinkToFit="1"/>
    </xf>
    <xf numFmtId="0" fontId="8" fillId="33" borderId="72" xfId="0" applyFont="1" applyFill="1" applyBorder="1" applyAlignment="1">
      <alignment horizontal="center" vertical="center" shrinkToFit="1"/>
    </xf>
    <xf numFmtId="176" fontId="8" fillId="33" borderId="73" xfId="0" applyNumberFormat="1" applyFont="1" applyFill="1" applyBorder="1" applyAlignment="1">
      <alignment horizontal="center" vertical="center" shrinkToFit="1"/>
    </xf>
    <xf numFmtId="176" fontId="8" fillId="33" borderId="74" xfId="0" applyNumberFormat="1" applyFont="1" applyFill="1" applyBorder="1" applyAlignment="1">
      <alignment horizontal="center" vertical="center" shrinkToFit="1"/>
    </xf>
    <xf numFmtId="0" fontId="8" fillId="33" borderId="75" xfId="0" applyFont="1" applyFill="1" applyBorder="1" applyAlignment="1">
      <alignment horizontal="center" vertical="center" shrinkToFit="1"/>
    </xf>
    <xf numFmtId="176" fontId="8" fillId="33" borderId="76" xfId="0" applyNumberFormat="1" applyFont="1" applyFill="1" applyBorder="1" applyAlignment="1">
      <alignment horizontal="center" vertical="center" shrinkToFit="1"/>
    </xf>
    <xf numFmtId="183" fontId="10" fillId="0" borderId="59" xfId="0" applyNumberFormat="1" applyFont="1" applyBorder="1" applyAlignment="1">
      <alignment vertical="center" wrapText="1" shrinkToFit="1"/>
    </xf>
    <xf numFmtId="180" fontId="54" fillId="29" borderId="41" xfId="0" applyNumberFormat="1" applyFont="1" applyFill="1" applyBorder="1" applyAlignment="1">
      <alignment horizontal="center" vertical="center"/>
    </xf>
    <xf numFmtId="56" fontId="47" fillId="24" borderId="104" xfId="0" applyNumberFormat="1" applyFont="1" applyFill="1" applyBorder="1" applyAlignment="1">
      <alignment horizontal="left" vertical="top" wrapText="1"/>
    </xf>
    <xf numFmtId="56" fontId="47" fillId="24" borderId="158" xfId="0" applyNumberFormat="1" applyFont="1" applyFill="1" applyBorder="1" applyAlignment="1">
      <alignment horizontal="left" vertical="top" wrapText="1"/>
    </xf>
    <xf numFmtId="0" fontId="47" fillId="24" borderId="0" xfId="0" applyFont="1" applyFill="1" applyAlignment="1">
      <alignment horizontal="left" vertical="top" wrapText="1"/>
    </xf>
    <xf numFmtId="0" fontId="47" fillId="24" borderId="99" xfId="0" applyFont="1" applyFill="1" applyBorder="1" applyAlignment="1">
      <alignment horizontal="left" vertical="top" wrapText="1"/>
    </xf>
    <xf numFmtId="0" fontId="47" fillId="24" borderId="90" xfId="0" applyFont="1" applyFill="1" applyBorder="1" applyAlignment="1">
      <alignment horizontal="left" vertical="top" wrapText="1"/>
    </xf>
    <xf numFmtId="0" fontId="48" fillId="24" borderId="0" xfId="0" applyFont="1" applyFill="1" applyAlignment="1">
      <alignment horizontal="right" vertical="top"/>
    </xf>
    <xf numFmtId="0" fontId="64" fillId="24" borderId="0" xfId="0" applyFont="1" applyFill="1" applyAlignment="1">
      <alignment horizontal="center" wrapText="1"/>
    </xf>
    <xf numFmtId="0" fontId="48" fillId="24" borderId="0" xfId="0" applyFont="1" applyFill="1" applyAlignment="1">
      <alignment horizontal="center"/>
    </xf>
    <xf numFmtId="0" fontId="54" fillId="24" borderId="101" xfId="0" applyFont="1" applyFill="1" applyBorder="1" applyAlignment="1">
      <alignment horizontal="center"/>
    </xf>
    <xf numFmtId="0" fontId="54" fillId="24" borderId="102" xfId="0" applyFont="1" applyFill="1" applyBorder="1" applyAlignment="1">
      <alignment horizontal="center"/>
    </xf>
    <xf numFmtId="0" fontId="60" fillId="24" borderId="103" xfId="0" applyFont="1" applyFill="1" applyBorder="1" applyAlignment="1">
      <alignment horizontal="left" vertical="top" wrapText="1"/>
    </xf>
    <xf numFmtId="0" fontId="60" fillId="24" borderId="104" xfId="0" applyFont="1" applyFill="1" applyBorder="1" applyAlignment="1">
      <alignment horizontal="left" vertical="top" wrapText="1"/>
    </xf>
    <xf numFmtId="0" fontId="60" fillId="24" borderId="97" xfId="0" applyFont="1" applyFill="1" applyBorder="1" applyAlignment="1">
      <alignment horizontal="left" vertical="top" wrapText="1"/>
    </xf>
    <xf numFmtId="0" fontId="60" fillId="24" borderId="105" xfId="0" applyFont="1" applyFill="1" applyBorder="1" applyAlignment="1">
      <alignment horizontal="left" vertical="top" wrapText="1"/>
    </xf>
    <xf numFmtId="0" fontId="60" fillId="24" borderId="0" xfId="0" applyFont="1" applyFill="1" applyAlignment="1">
      <alignment horizontal="left" vertical="top" wrapText="1"/>
    </xf>
    <xf numFmtId="0" fontId="60" fillId="24" borderId="99" xfId="0" applyFont="1" applyFill="1" applyBorder="1" applyAlignment="1">
      <alignment horizontal="left" vertical="top" wrapText="1"/>
    </xf>
    <xf numFmtId="0" fontId="60" fillId="24" borderId="106" xfId="0" applyFont="1" applyFill="1" applyBorder="1" applyAlignment="1">
      <alignment horizontal="left" vertical="top" wrapText="1"/>
    </xf>
    <xf numFmtId="0" fontId="60" fillId="24" borderId="91" xfId="0" applyFont="1" applyFill="1" applyBorder="1" applyAlignment="1">
      <alignment horizontal="left" vertical="top" wrapText="1"/>
    </xf>
    <xf numFmtId="0" fontId="60" fillId="24" borderId="95" xfId="0" applyFont="1" applyFill="1" applyBorder="1" applyAlignment="1">
      <alignment horizontal="left" vertical="top" wrapText="1"/>
    </xf>
    <xf numFmtId="0" fontId="47" fillId="24" borderId="104" xfId="0" applyFont="1" applyFill="1" applyBorder="1" applyAlignment="1">
      <alignment horizontal="left" vertical="top" wrapText="1"/>
    </xf>
    <xf numFmtId="0" fontId="47" fillId="24" borderId="97" xfId="0" applyFont="1" applyFill="1" applyBorder="1" applyAlignment="1">
      <alignment horizontal="left" vertical="top" wrapText="1"/>
    </xf>
    <xf numFmtId="0" fontId="59" fillId="24" borderId="92" xfId="0" applyFont="1" applyFill="1" applyBorder="1" applyAlignment="1">
      <alignment horizontal="left" vertical="top" wrapText="1"/>
    </xf>
    <xf numFmtId="0" fontId="59" fillId="24" borderId="104" xfId="0" applyFont="1" applyFill="1" applyBorder="1" applyAlignment="1">
      <alignment horizontal="left" vertical="top" wrapText="1"/>
    </xf>
    <xf numFmtId="0" fontId="59" fillId="24" borderId="107" xfId="0" applyFont="1" applyFill="1" applyBorder="1" applyAlignment="1">
      <alignment horizontal="left" vertical="top" wrapText="1"/>
    </xf>
    <xf numFmtId="0" fontId="59" fillId="24" borderId="90" xfId="0" applyFont="1" applyFill="1" applyBorder="1" applyAlignment="1">
      <alignment horizontal="left" vertical="top" wrapText="1"/>
    </xf>
    <xf numFmtId="0" fontId="59" fillId="24" borderId="0" xfId="0" applyFont="1" applyFill="1" applyAlignment="1">
      <alignment horizontal="left" vertical="top" wrapText="1"/>
    </xf>
    <xf numFmtId="0" fontId="59" fillId="24" borderId="25" xfId="0" applyFont="1" applyFill="1" applyBorder="1" applyAlignment="1">
      <alignment horizontal="left" vertical="top" wrapText="1"/>
    </xf>
    <xf numFmtId="0" fontId="59" fillId="24" borderId="83" xfId="0" applyFont="1" applyFill="1" applyBorder="1" applyAlignment="1">
      <alignment horizontal="left" vertical="top" wrapText="1"/>
    </xf>
    <xf numFmtId="0" fontId="59" fillId="24" borderId="34" xfId="0" applyFont="1" applyFill="1" applyBorder="1" applyAlignment="1">
      <alignment horizontal="left" vertical="top" wrapText="1"/>
    </xf>
    <xf numFmtId="0" fontId="59" fillId="24" borderId="108" xfId="0" applyFont="1" applyFill="1" applyBorder="1" applyAlignment="1">
      <alignment horizontal="left" vertical="top" wrapText="1"/>
    </xf>
    <xf numFmtId="0" fontId="57" fillId="24" borderId="103" xfId="0" applyFont="1" applyFill="1" applyBorder="1" applyAlignment="1">
      <alignment horizontal="left" vertical="top" wrapText="1"/>
    </xf>
    <xf numFmtId="0" fontId="57" fillId="24" borderId="104" xfId="0" applyFont="1" applyFill="1" applyBorder="1" applyAlignment="1">
      <alignment horizontal="left" vertical="top" wrapText="1"/>
    </xf>
    <xf numFmtId="0" fontId="57" fillId="24" borderId="97" xfId="0" applyFont="1" applyFill="1" applyBorder="1" applyAlignment="1">
      <alignment horizontal="left" vertical="top" wrapText="1"/>
    </xf>
    <xf numFmtId="0" fontId="57" fillId="24" borderId="105" xfId="0" applyFont="1" applyFill="1" applyBorder="1" applyAlignment="1">
      <alignment horizontal="left" vertical="top" wrapText="1"/>
    </xf>
    <xf numFmtId="0" fontId="57" fillId="24" borderId="0" xfId="0" applyFont="1" applyFill="1" applyAlignment="1">
      <alignment horizontal="left" vertical="top" wrapText="1"/>
    </xf>
    <xf numFmtId="0" fontId="57" fillId="24" borderId="99" xfId="0" applyFont="1" applyFill="1" applyBorder="1" applyAlignment="1">
      <alignment horizontal="left" vertical="top" wrapText="1"/>
    </xf>
    <xf numFmtId="0" fontId="57" fillId="24" borderId="109" xfId="0" applyFont="1" applyFill="1" applyBorder="1" applyAlignment="1">
      <alignment horizontal="left" vertical="top" wrapText="1"/>
    </xf>
    <xf numFmtId="0" fontId="57" fillId="24" borderId="34" xfId="0" applyFont="1" applyFill="1" applyBorder="1" applyAlignment="1">
      <alignment horizontal="left" vertical="top" wrapText="1"/>
    </xf>
    <xf numFmtId="0" fontId="57" fillId="24" borderId="100" xfId="0" applyFont="1" applyFill="1" applyBorder="1" applyAlignment="1">
      <alignment horizontal="left" vertical="top" wrapText="1"/>
    </xf>
    <xf numFmtId="0" fontId="47" fillId="24" borderId="34" xfId="0" applyFont="1" applyFill="1" applyBorder="1" applyAlignment="1">
      <alignment horizontal="center" vertical="top" wrapText="1"/>
    </xf>
    <xf numFmtId="0" fontId="47" fillId="24" borderId="100" xfId="0" applyFont="1" applyFill="1" applyBorder="1" applyAlignment="1">
      <alignment horizontal="center" vertical="top" wrapText="1"/>
    </xf>
    <xf numFmtId="0" fontId="47" fillId="24" borderId="110" xfId="0" applyFont="1" applyFill="1" applyBorder="1" applyAlignment="1">
      <alignment horizontal="left" vertical="top" wrapText="1"/>
    </xf>
    <xf numFmtId="0" fontId="48" fillId="24" borderId="0" xfId="0" applyFont="1" applyFill="1" applyAlignment="1">
      <alignment horizontal="center" wrapText="1"/>
    </xf>
    <xf numFmtId="0" fontId="57" fillId="0" borderId="53" xfId="0" applyFont="1" applyBorder="1" applyAlignment="1">
      <alignment horizontal="left" shrinkToFit="1"/>
    </xf>
    <xf numFmtId="0" fontId="57" fillId="0" borderId="0" xfId="0" applyFont="1" applyAlignment="1">
      <alignment horizontal="left" shrinkToFit="1"/>
    </xf>
    <xf numFmtId="0" fontId="57" fillId="0" borderId="0" xfId="0" applyFont="1" applyAlignment="1">
      <alignment horizontal="right" vertical="center" shrinkToFit="1"/>
    </xf>
    <xf numFmtId="0" fontId="57" fillId="0" borderId="109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100" xfId="0" applyFont="1" applyBorder="1" applyAlignment="1">
      <alignment horizontal="center" vertical="center"/>
    </xf>
    <xf numFmtId="0" fontId="57" fillId="0" borderId="0" xfId="0" applyFont="1" applyAlignment="1">
      <alignment horizontal="center" shrinkToFit="1"/>
    </xf>
    <xf numFmtId="0" fontId="48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7" fillId="0" borderId="32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 textRotation="255"/>
    </xf>
    <xf numFmtId="0" fontId="57" fillId="0" borderId="14" xfId="0" applyFont="1" applyBorder="1" applyAlignment="1">
      <alignment horizontal="center" vertical="center" textRotation="255"/>
    </xf>
    <xf numFmtId="0" fontId="57" fillId="0" borderId="114" xfId="0" applyFont="1" applyBorder="1" applyAlignment="1">
      <alignment horizontal="center" vertical="center" textRotation="255"/>
    </xf>
    <xf numFmtId="0" fontId="57" fillId="0" borderId="115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/>
    </xf>
    <xf numFmtId="0" fontId="57" fillId="0" borderId="112" xfId="0" applyFont="1" applyBorder="1" applyAlignment="1">
      <alignment horizontal="center" vertical="center"/>
    </xf>
    <xf numFmtId="0" fontId="57" fillId="0" borderId="113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4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shrinkToFit="1"/>
    </xf>
    <xf numFmtId="0" fontId="57" fillId="0" borderId="24" xfId="0" applyFont="1" applyBorder="1" applyAlignment="1">
      <alignment horizontal="center" vertical="center" shrinkToFit="1"/>
    </xf>
    <xf numFmtId="0" fontId="57" fillId="0" borderId="29" xfId="0" applyFont="1" applyBorder="1" applyAlignment="1">
      <alignment horizontal="center" vertical="center" shrinkToFit="1"/>
    </xf>
    <xf numFmtId="0" fontId="57" fillId="0" borderId="31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56" fontId="10" fillId="33" borderId="12" xfId="0" applyNumberFormat="1" applyFont="1" applyFill="1" applyBorder="1" applyAlignment="1">
      <alignment horizontal="center" vertical="center" shrinkToFit="1"/>
    </xf>
    <xf numFmtId="0" fontId="10" fillId="33" borderId="12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0" borderId="9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91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56" fontId="10" fillId="0" borderId="12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54" fillId="24" borderId="34" xfId="0" applyFont="1" applyFill="1" applyBorder="1" applyAlignment="1">
      <alignment horizontal="right" vertical="top"/>
    </xf>
    <xf numFmtId="0" fontId="0" fillId="0" borderId="42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0" fontId="14" fillId="0" borderId="134" xfId="0" applyFont="1" applyBorder="1" applyAlignment="1">
      <alignment horizontal="center"/>
    </xf>
    <xf numFmtId="0" fontId="14" fillId="0" borderId="135" xfId="0" applyFont="1" applyBorder="1" applyAlignment="1">
      <alignment horizontal="center"/>
    </xf>
    <xf numFmtId="0" fontId="47" fillId="24" borderId="133" xfId="0" applyFont="1" applyFill="1" applyBorder="1" applyAlignment="1">
      <alignment horizontal="left" vertical="top" wrapText="1"/>
    </xf>
    <xf numFmtId="0" fontId="47" fillId="0" borderId="34" xfId="0" applyFont="1" applyBorder="1" applyAlignment="1">
      <alignment horizontal="center" vertical="top" wrapText="1"/>
    </xf>
    <xf numFmtId="0" fontId="47" fillId="0" borderId="100" xfId="0" applyFont="1" applyBorder="1" applyAlignment="1">
      <alignment horizontal="center" vertical="top" wrapText="1"/>
    </xf>
    <xf numFmtId="0" fontId="47" fillId="0" borderId="148" xfId="0" applyFont="1" applyBorder="1" applyAlignment="1">
      <alignment horizontal="left" vertical="top" wrapText="1"/>
    </xf>
    <xf numFmtId="0" fontId="47" fillId="0" borderId="147" xfId="0" applyFont="1" applyBorder="1" applyAlignment="1">
      <alignment horizontal="left" vertical="top" wrapText="1"/>
    </xf>
    <xf numFmtId="0" fontId="47" fillId="0" borderId="90" xfId="0" applyFont="1" applyBorder="1" applyAlignment="1">
      <alignment horizontal="left" vertical="top" wrapText="1"/>
    </xf>
    <xf numFmtId="0" fontId="47" fillId="0" borderId="99" xfId="0" applyFont="1" applyBorder="1" applyAlignment="1">
      <alignment horizontal="left" vertical="top" wrapText="1"/>
    </xf>
    <xf numFmtId="0" fontId="47" fillId="0" borderId="90" xfId="0" applyFont="1" applyBorder="1" applyAlignment="1">
      <alignment horizontal="center" vertical="top" wrapText="1"/>
    </xf>
    <xf numFmtId="0" fontId="47" fillId="0" borderId="99" xfId="0" applyFont="1" applyBorder="1" applyAlignment="1">
      <alignment horizontal="center" vertical="top" wrapText="1"/>
    </xf>
    <xf numFmtId="0" fontId="75" fillId="0" borderId="168" xfId="0" applyFont="1" applyBorder="1" applyAlignment="1">
      <alignment vertical="center" shrinkToFit="1"/>
    </xf>
    <xf numFmtId="0" fontId="73" fillId="0" borderId="167" xfId="0" applyFont="1" applyBorder="1" applyAlignment="1">
      <alignment horizontal="center"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6" builtinId="6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5" xfId="47" xr:uid="{00000000-0005-0000-0000-00002D000000}"/>
    <cellStyle name="標準 6" xfId="48" xr:uid="{00000000-0005-0000-0000-00002E000000}"/>
    <cellStyle name="未定義" xfId="44" xr:uid="{00000000-0005-0000-0000-00002F000000}"/>
    <cellStyle name="良い 2" xfId="45" xr:uid="{00000000-0005-0000-0000-000030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269875</xdr:colOff>
      <xdr:row>40</xdr:row>
      <xdr:rowOff>41275</xdr:rowOff>
    </xdr:from>
    <xdr:to>
      <xdr:col>3</xdr:col>
      <xdr:colOff>851513</xdr:colOff>
      <xdr:row>41</xdr:row>
      <xdr:rowOff>130507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6753225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賞　品</a:t>
          </a:r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705600" y="23622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705600" y="30861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22</xdr:row>
      <xdr:rowOff>6350</xdr:rowOff>
    </xdr:from>
    <xdr:to>
      <xdr:col>14</xdr:col>
      <xdr:colOff>0</xdr:colOff>
      <xdr:row>23</xdr:row>
      <xdr:rowOff>3113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6705600" y="4362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24</xdr:col>
      <xdr:colOff>269875</xdr:colOff>
      <xdr:row>40</xdr:row>
      <xdr:rowOff>41275</xdr:rowOff>
    </xdr:from>
    <xdr:to>
      <xdr:col>24</xdr:col>
      <xdr:colOff>851782</xdr:colOff>
      <xdr:row>41</xdr:row>
      <xdr:rowOff>130507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381125" y="6838950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4</xdr:col>
      <xdr:colOff>120650</xdr:colOff>
      <xdr:row>38</xdr:row>
      <xdr:rowOff>158750</xdr:rowOff>
    </xdr:from>
    <xdr:to>
      <xdr:col>4</xdr:col>
      <xdr:colOff>266351</xdr:colOff>
      <xdr:row>39</xdr:row>
      <xdr:rowOff>153459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2273300" y="7372350"/>
          <a:ext cx="145701" cy="17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</a:t>
          </a:r>
        </a:p>
      </xdr:txBody>
    </xdr:sp>
    <xdr:clientData/>
  </xdr:twoCellAnchor>
  <xdr:twoCellAnchor>
    <xdr:from>
      <xdr:col>6</xdr:col>
      <xdr:colOff>182656</xdr:colOff>
      <xdr:row>37</xdr:row>
      <xdr:rowOff>163232</xdr:rowOff>
    </xdr:from>
    <xdr:to>
      <xdr:col>6</xdr:col>
      <xdr:colOff>328357</xdr:colOff>
      <xdr:row>38</xdr:row>
      <xdr:rowOff>156447</xdr:rowOff>
    </xdr:to>
    <xdr:sp macro="" textlink="">
      <xdr:nvSpPr>
        <xdr:cNvPr id="5" name="テキスト 204">
          <a:extLst>
            <a:ext uri="{FF2B5EF4-FFF2-40B4-BE49-F238E27FC236}">
              <a16:creationId xmlns:a16="http://schemas.microsoft.com/office/drawing/2014/main" id="{95A0FE10-94B7-CC95-B327-CC3538FBFA45}"/>
            </a:ext>
          </a:extLst>
        </xdr:cNvPr>
        <xdr:cNvSpPr txBox="1">
          <a:spLocks noChangeArrowheads="1"/>
        </xdr:cNvSpPr>
      </xdr:nvSpPr>
      <xdr:spPr bwMode="auto">
        <a:xfrm>
          <a:off x="3440206" y="7199032"/>
          <a:ext cx="145701" cy="171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	</a:t>
          </a:r>
        </a:p>
      </xdr:txBody>
    </xdr:sp>
    <xdr:clientData/>
  </xdr:twoCellAnchor>
  <xdr:twoCellAnchor editAs="oneCell">
    <xdr:from>
      <xdr:col>7</xdr:col>
      <xdr:colOff>57150</xdr:colOff>
      <xdr:row>37</xdr:row>
      <xdr:rowOff>165100</xdr:rowOff>
    </xdr:from>
    <xdr:to>
      <xdr:col>7</xdr:col>
      <xdr:colOff>325397</xdr:colOff>
      <xdr:row>38</xdr:row>
      <xdr:rowOff>164099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A5FE3AA-6FB2-0A94-1E83-CFF72135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7200900"/>
          <a:ext cx="268247" cy="1767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268247</xdr:colOff>
      <xdr:row>39</xdr:row>
      <xdr:rowOff>3618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CDD5A22-52BF-4400-9DAB-C5B391E28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7213600"/>
          <a:ext cx="268247" cy="1767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268247</xdr:colOff>
      <xdr:row>39</xdr:row>
      <xdr:rowOff>3618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4B1675C-C4F1-40A1-BD44-84F6F5C38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7213600"/>
          <a:ext cx="268247" cy="176799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37</xdr:row>
      <xdr:rowOff>146050</xdr:rowOff>
    </xdr:from>
    <xdr:to>
      <xdr:col>9</xdr:col>
      <xdr:colOff>395247</xdr:colOff>
      <xdr:row>38</xdr:row>
      <xdr:rowOff>145049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041237F-6F63-476C-8E9D-FC518449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1900" y="7181850"/>
          <a:ext cx="268247" cy="176799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38</xdr:row>
      <xdr:rowOff>6350</xdr:rowOff>
    </xdr:from>
    <xdr:to>
      <xdr:col>5</xdr:col>
      <xdr:colOff>439697</xdr:colOff>
      <xdr:row>39</xdr:row>
      <xdr:rowOff>5349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8E9FFE3-40A1-4CD5-8A0F-FDEEC8AB5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7219950"/>
          <a:ext cx="268247" cy="176799"/>
        </a:xfrm>
        <a:prstGeom prst="rect">
          <a:avLst/>
        </a:prstGeom>
      </xdr:spPr>
    </xdr:pic>
    <xdr:clientData/>
  </xdr:twoCellAnchor>
  <xdr:twoCellAnchor editAs="oneCell">
    <xdr:from>
      <xdr:col>4</xdr:col>
      <xdr:colOff>181428</xdr:colOff>
      <xdr:row>37</xdr:row>
      <xdr:rowOff>154213</xdr:rowOff>
    </xdr:from>
    <xdr:to>
      <xdr:col>4</xdr:col>
      <xdr:colOff>449675</xdr:colOff>
      <xdr:row>38</xdr:row>
      <xdr:rowOff>153213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9E5C4F1-EEDA-49CC-A814-06DFF3E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1357" y="7284356"/>
          <a:ext cx="268247" cy="180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21</xdr:row>
      <xdr:rowOff>0</xdr:rowOff>
    </xdr:from>
    <xdr:to>
      <xdr:col>3</xdr:col>
      <xdr:colOff>371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638800"/>
          <a:ext cx="361950" cy="0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5" name="テキスト 20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6" name="テキスト 20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019925" y="25050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8" name="テキスト 20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9" name="テキスト 20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161925</xdr:colOff>
      <xdr:row>12</xdr:row>
      <xdr:rowOff>0</xdr:rowOff>
    </xdr:to>
    <xdr:sp macro="" textlink="">
      <xdr:nvSpPr>
        <xdr:cNvPr id="41062" name="テキスト 204">
          <a:extLst>
            <a:ext uri="{FF2B5EF4-FFF2-40B4-BE49-F238E27FC236}">
              <a16:creationId xmlns:a16="http://schemas.microsoft.com/office/drawing/2014/main" id="{00000000-0008-0000-0800-000066A00000}"/>
            </a:ext>
          </a:extLst>
        </xdr:cNvPr>
        <xdr:cNvSpPr txBox="1">
          <a:spLocks noChangeArrowheads="1"/>
        </xdr:cNvSpPr>
      </xdr:nvSpPr>
      <xdr:spPr bwMode="auto">
        <a:xfrm>
          <a:off x="2114550" y="29718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152400</xdr:colOff>
      <xdr:row>17</xdr:row>
      <xdr:rowOff>0</xdr:rowOff>
    </xdr:to>
    <xdr:sp macro="" textlink="">
      <xdr:nvSpPr>
        <xdr:cNvPr id="41063" name="テキスト 204">
          <a:extLst>
            <a:ext uri="{FF2B5EF4-FFF2-40B4-BE49-F238E27FC236}">
              <a16:creationId xmlns:a16="http://schemas.microsoft.com/office/drawing/2014/main" id="{00000000-0008-0000-0800-000067A00000}"/>
            </a:ext>
          </a:extLst>
        </xdr:cNvPr>
        <xdr:cNvSpPr txBox="1">
          <a:spLocks noChangeArrowheads="1"/>
        </xdr:cNvSpPr>
      </xdr:nvSpPr>
      <xdr:spPr bwMode="auto">
        <a:xfrm>
          <a:off x="2105025" y="433387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17</xdr:row>
      <xdr:rowOff>0</xdr:rowOff>
    </xdr:from>
    <xdr:to>
      <xdr:col>8</xdr:col>
      <xdr:colOff>164751</xdr:colOff>
      <xdr:row>17</xdr:row>
      <xdr:rowOff>0</xdr:rowOff>
    </xdr:to>
    <xdr:sp macro="" textlink="">
      <xdr:nvSpPr>
        <xdr:cNvPr id="12" name="テキスト 20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4333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3" name="テキスト 20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9" name="テキスト 20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0" name="テキスト 20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1" name="テキスト 20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2" name="テキスト 20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57435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57435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5" name="テキスト 20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57435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26" name="テキスト 204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57435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21</xdr:row>
      <xdr:rowOff>28575</xdr:rowOff>
    </xdr:to>
    <xdr:sp macro="" textlink="">
      <xdr:nvSpPr>
        <xdr:cNvPr id="27" name="テキスト 204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701992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4" name="テキスト 204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5" name="テキスト 20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36" name="テキスト 204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33" name="テキスト 204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59340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37" name="テキスト 204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9340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38" name="テキスト 204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59340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39" name="テキスト 204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9340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1" name="テキスト 204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2" name="テキスト 204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3" name="テキスト 204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4" name="テキスト 204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2"/>
  <sheetViews>
    <sheetView zoomScale="85" zoomScaleNormal="85" workbookViewId="0">
      <selection activeCell="O22" sqref="O22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" style="153" hidden="1" customWidth="1"/>
    <col min="6" max="6" width="5" style="153" customWidth="1"/>
    <col min="7" max="7" width="10.90625" style="153" customWidth="1"/>
    <col min="8" max="8" width="8.363281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90625" style="153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1.6328125" style="153" customWidth="1"/>
    <col min="18" max="18" width="1.08984375" style="153" customWidth="1"/>
    <col min="19" max="19" width="4.90625" style="153" customWidth="1"/>
    <col min="20" max="22" width="7.6328125" style="153" hidden="1" customWidth="1"/>
    <col min="23" max="23" width="8.26953125" style="153" customWidth="1"/>
    <col min="24" max="26" width="7.6328125" style="153" customWidth="1"/>
    <col min="27" max="27" width="4.453125" style="153" customWidth="1"/>
    <col min="28" max="30" width="8" style="153" customWidth="1"/>
    <col min="31" max="16384" width="9" style="153"/>
  </cols>
  <sheetData>
    <row r="1" spans="1:32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32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161</v>
      </c>
      <c r="H2" s="65"/>
      <c r="I2" s="66"/>
      <c r="J2" s="62"/>
      <c r="K2" s="67"/>
      <c r="L2" s="62"/>
      <c r="M2" s="68" t="s">
        <v>33</v>
      </c>
      <c r="N2" s="518" t="s">
        <v>280</v>
      </c>
      <c r="O2" s="70" t="s">
        <v>35</v>
      </c>
      <c r="P2" s="194">
        <f>参照ﾃﾞｰﾀ!J10</f>
        <v>46222</v>
      </c>
      <c r="Q2" s="573">
        <v>0.4375</v>
      </c>
      <c r="R2" s="294"/>
      <c r="S2" s="62"/>
      <c r="T2" s="155" t="s">
        <v>2</v>
      </c>
      <c r="U2" s="154"/>
      <c r="V2" s="154"/>
      <c r="W2" s="155" t="str">
        <f>参照ＴＡ!B3</f>
        <v>2026年</v>
      </c>
      <c r="X2" s="155" t="str">
        <f>参照ＴＡ!D3</f>
        <v>7月</v>
      </c>
      <c r="Y2" s="154"/>
      <c r="Z2" s="154"/>
      <c r="AA2" s="154"/>
    </row>
    <row r="3" spans="1:32" ht="21.75" customHeight="1" thickBot="1" x14ac:dyDescent="0.35">
      <c r="A3" s="71"/>
      <c r="B3" s="62"/>
      <c r="C3" s="71"/>
      <c r="D3" s="72" t="s">
        <v>272</v>
      </c>
      <c r="E3" s="580" t="s">
        <v>45</v>
      </c>
      <c r="F3" s="580"/>
      <c r="G3" s="580"/>
      <c r="H3" s="580"/>
      <c r="I3" s="580"/>
      <c r="J3" s="581" t="s">
        <v>36</v>
      </c>
      <c r="K3" s="581"/>
      <c r="L3" s="62"/>
      <c r="M3" s="73" t="s">
        <v>56</v>
      </c>
      <c r="N3" s="74">
        <f>IF(ISBLANK(N2),"",VLOOKUP(N2,コース・距離,2,FALSE))</f>
        <v>15.4</v>
      </c>
      <c r="O3" s="75" t="s">
        <v>0</v>
      </c>
      <c r="P3" s="517">
        <v>15</v>
      </c>
      <c r="Q3" s="77" t="s">
        <v>1</v>
      </c>
      <c r="R3" s="295"/>
      <c r="S3" s="62"/>
      <c r="T3" s="154" t="s">
        <v>182</v>
      </c>
      <c r="U3" s="154"/>
      <c r="V3" s="154"/>
      <c r="W3" s="155" t="s">
        <v>2</v>
      </c>
      <c r="X3" s="154"/>
      <c r="Y3" s="154"/>
      <c r="Z3" s="154"/>
      <c r="AA3" s="154"/>
      <c r="AB3" s="156" t="s">
        <v>57</v>
      </c>
    </row>
    <row r="4" spans="1:32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154"/>
      <c r="U4" s="154"/>
      <c r="V4" s="154"/>
      <c r="W4" s="157"/>
      <c r="X4" s="154"/>
      <c r="Y4" s="154"/>
      <c r="Z4" s="154"/>
      <c r="AA4" s="154"/>
    </row>
    <row r="5" spans="1:32" ht="14" x14ac:dyDescent="0.2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296"/>
      <c r="S5" s="151"/>
      <c r="T5" s="160" t="s">
        <v>10</v>
      </c>
      <c r="U5" s="158" t="s">
        <v>10</v>
      </c>
      <c r="V5" s="161" t="s">
        <v>10</v>
      </c>
      <c r="W5" s="160" t="s">
        <v>10</v>
      </c>
      <c r="X5" s="158" t="s">
        <v>10</v>
      </c>
      <c r="Y5" s="158" t="s">
        <v>10</v>
      </c>
      <c r="Z5" s="431" t="s">
        <v>10</v>
      </c>
      <c r="AA5" s="159"/>
      <c r="AB5" s="160" t="s">
        <v>13</v>
      </c>
      <c r="AC5" s="158" t="s">
        <v>13</v>
      </c>
      <c r="AD5" s="356" t="s">
        <v>13</v>
      </c>
      <c r="AE5" s="158" t="s">
        <v>13</v>
      </c>
      <c r="AF5" s="431" t="s">
        <v>13</v>
      </c>
    </row>
    <row r="6" spans="1:32" ht="14" x14ac:dyDescent="0.2">
      <c r="A6" s="71"/>
      <c r="B6" s="81"/>
      <c r="C6" s="82" t="s">
        <v>14</v>
      </c>
      <c r="D6" s="83"/>
      <c r="E6" s="84" t="s">
        <v>15</v>
      </c>
      <c r="F6" s="84"/>
      <c r="G6" s="82" t="s">
        <v>16</v>
      </c>
      <c r="H6" s="84" t="s">
        <v>17</v>
      </c>
      <c r="I6" s="516" t="s">
        <v>180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430" t="str">
        <f>参照ﾃﾞｰﾀ!K10</f>
        <v>MAX=25</v>
      </c>
      <c r="P6" s="86"/>
      <c r="Q6" s="87"/>
      <c r="R6" s="151"/>
      <c r="S6" s="152"/>
      <c r="T6" s="164" t="s">
        <v>20</v>
      </c>
      <c r="U6" s="162" t="s">
        <v>22</v>
      </c>
      <c r="V6" s="165" t="s">
        <v>21</v>
      </c>
      <c r="W6" s="164" t="s">
        <v>20</v>
      </c>
      <c r="X6" s="162" t="s">
        <v>22</v>
      </c>
      <c r="Y6" s="162" t="s">
        <v>21</v>
      </c>
      <c r="Z6" s="519" t="s">
        <v>250</v>
      </c>
      <c r="AA6" s="163"/>
      <c r="AB6" s="439" t="s">
        <v>206</v>
      </c>
      <c r="AC6" s="430" t="s">
        <v>59</v>
      </c>
      <c r="AD6" s="440" t="s">
        <v>205</v>
      </c>
      <c r="AE6" s="430" t="s">
        <v>251</v>
      </c>
      <c r="AF6" s="436" t="s">
        <v>252</v>
      </c>
    </row>
    <row r="7" spans="1:32" ht="14" x14ac:dyDescent="0.2">
      <c r="A7" s="71"/>
      <c r="B7" s="364">
        <v>1</v>
      </c>
      <c r="C7" s="185"/>
      <c r="D7" s="186" t="str">
        <f t="shared" ref="D7:D31" si="0">IF(ISBLANK(C7),"",VLOOKUP(C7,第1月ＴＡ,2,FALSE))</f>
        <v/>
      </c>
      <c r="E7" s="365" t="str">
        <f t="shared" ref="E7:E23" si="1">IF($I$6="Ⅰ",T7,IF($I$6="Ⅱ",U7,IF($I$6="Ⅲ",V7,"")))</f>
        <v/>
      </c>
      <c r="F7" s="366">
        <v>1</v>
      </c>
      <c r="G7" s="367"/>
      <c r="H7" s="185" t="str">
        <f t="shared" ref="H7:H23" si="2">IFERROR(IF(G7-$Q$2&lt;=0,"",(G7-$Q$2)*86400),"")</f>
        <v/>
      </c>
      <c r="I7" s="368" t="str">
        <f>IF($I$6="Ⅰ",W7,IF($I$6="Ⅱ",X7,IF($I$6="Ⅲ",Y7,IF($I$6="IV",Z7,""))))</f>
        <v/>
      </c>
      <c r="J7" s="366"/>
      <c r="K7" s="369" t="str">
        <f t="shared" ref="K7:K23" si="3">IFERROR(H7*(1+0.01*J7)-I7*$N$3,"")</f>
        <v/>
      </c>
      <c r="L7" s="367" t="str">
        <f t="shared" ref="L7:L23" si="4">IFERROR((K7-$K$7)/86400,"")</f>
        <v/>
      </c>
      <c r="M7" s="218" t="str">
        <f t="shared" ref="M7:M23" si="5">IFERROR((K7-$K$7)/$N$3,"")</f>
        <v/>
      </c>
      <c r="N7" s="370" t="str">
        <f t="shared" ref="N7:N23" si="6">IFERROR($N$3/(H7/3600),"")</f>
        <v/>
      </c>
      <c r="O7" s="218">
        <f t="shared" ref="O7:O8" si="7">ROUND(IF($O$6="MAX=15",AB7,IF($O$6="MAX=20",AC7,IF($O$6="MAX=25",AD7,IF($O$6="MAX=30",AE7,IF($O$6="MAX=40",AF7))))),1)</f>
        <v>25</v>
      </c>
      <c r="P7" s="371"/>
      <c r="Q7" s="372"/>
      <c r="R7" s="151"/>
      <c r="S7" s="151"/>
      <c r="T7" s="167" t="str">
        <f t="shared" ref="T7:T31" si="8">IF(ISBLANK(C7),"",VLOOKUP(C7,各艇データ,3,FALSE))</f>
        <v/>
      </c>
      <c r="U7" s="168" t="str">
        <f t="shared" ref="U7:U31" si="9">IF(ISBLANK(C7),"",VLOOKUP(C7,各艇データ,4,FALSE))</f>
        <v/>
      </c>
      <c r="V7" s="169" t="str">
        <f t="shared" ref="V7:V31" si="10">IF(ISBLANK(C7),"",VLOOKUP(C7,各艇データ,5,FALSE))</f>
        <v/>
      </c>
      <c r="W7" s="350" t="str">
        <f t="shared" ref="W7:W31" si="11">IF(ISBLANK(C7),"",VLOOKUP(C7,第1月ＴＡ,3,FALSE))</f>
        <v/>
      </c>
      <c r="X7" s="351" t="str">
        <f t="shared" ref="X7:X31" si="12">IF(ISBLANK(C7),"",VLOOKUP(C7,第1月ＴＡ,4,FALSE))</f>
        <v/>
      </c>
      <c r="Y7" s="434" t="str">
        <f t="shared" ref="Y7:Y31" si="13">IF(ISBLANK(C7),"",VLOOKUP(C7,第1月ＴＡ,5,FALSE))</f>
        <v/>
      </c>
      <c r="Z7" s="432" t="str">
        <f t="shared" ref="Z7:Z31" si="14">IF(ISBLANK(C7),"",VLOOKUP(C7,第1月ＴＡ,6,FALSE))</f>
        <v/>
      </c>
      <c r="AA7" s="159"/>
      <c r="AB7" s="171">
        <f>IF(ISBLANK(B7),"",IFERROR(15*($P$3+1-$B7)/$P$3,"15.0"))</f>
        <v>15</v>
      </c>
      <c r="AC7" s="166">
        <f>IF(ISBLANK(B7),"",IFERROR(20*($P$3+1-$B7)/$P$3,"20.0"))</f>
        <v>20</v>
      </c>
      <c r="AD7" s="166">
        <f>IF(ISBLANK(B7),"",IFERROR(25*($P$3+1-$B7)/$P$3,"25.0"))</f>
        <v>25</v>
      </c>
      <c r="AE7" s="166">
        <f>IF(ISBLANK($B7),"",IFERROR(30*($P$3+1-$B7)/$P$3,"30.0"))</f>
        <v>30</v>
      </c>
      <c r="AF7" s="441">
        <f>IF(ISBLANK($B7),"",IFERROR(40*($P$3+1-$B7)/$P$3,"40.0"))</f>
        <v>40</v>
      </c>
    </row>
    <row r="8" spans="1:32" ht="14" x14ac:dyDescent="0.2">
      <c r="A8" s="71"/>
      <c r="B8" s="373">
        <v>2</v>
      </c>
      <c r="C8" s="187"/>
      <c r="D8" s="188" t="str">
        <f t="shared" si="0"/>
        <v/>
      </c>
      <c r="E8" s="374" t="str">
        <f t="shared" si="1"/>
        <v/>
      </c>
      <c r="F8" s="375">
        <v>2</v>
      </c>
      <c r="G8" s="376"/>
      <c r="H8" s="187" t="str">
        <f t="shared" si="2"/>
        <v/>
      </c>
      <c r="I8" s="377" t="str">
        <f t="shared" ref="I8:I31" si="15">IF($I$6="Ⅰ",W8,IF($I$6="Ⅱ",X8,IF($I$6="Ⅲ",Y8,IF($I$6="IV",Z8,""))))</f>
        <v/>
      </c>
      <c r="J8" s="375"/>
      <c r="K8" s="378" t="str">
        <f t="shared" si="3"/>
        <v/>
      </c>
      <c r="L8" s="376" t="str">
        <f t="shared" si="4"/>
        <v/>
      </c>
      <c r="M8" s="226" t="str">
        <f t="shared" si="5"/>
        <v/>
      </c>
      <c r="N8" s="379" t="str">
        <f t="shared" si="6"/>
        <v/>
      </c>
      <c r="O8" s="226">
        <f t="shared" si="7"/>
        <v>23.3</v>
      </c>
      <c r="P8" s="381"/>
      <c r="Q8" s="382"/>
      <c r="R8" s="151"/>
      <c r="S8" s="151"/>
      <c r="T8" s="167" t="str">
        <f t="shared" si="8"/>
        <v/>
      </c>
      <c r="U8" s="168" t="str">
        <f t="shared" si="9"/>
        <v/>
      </c>
      <c r="V8" s="169" t="str">
        <f t="shared" si="10"/>
        <v/>
      </c>
      <c r="W8" s="350" t="str">
        <f t="shared" si="11"/>
        <v/>
      </c>
      <c r="X8" s="351" t="str">
        <f t="shared" si="12"/>
        <v/>
      </c>
      <c r="Y8" s="434" t="str">
        <f t="shared" si="13"/>
        <v/>
      </c>
      <c r="Z8" s="432" t="str">
        <f t="shared" si="14"/>
        <v/>
      </c>
      <c r="AA8" s="159"/>
      <c r="AB8" s="171">
        <f t="shared" ref="AB8:AB31" si="16">IF(ISBLANK(B8),"",IFERROR(15*($P$3+1-$B8)/$P$3,"15.0"))</f>
        <v>14</v>
      </c>
      <c r="AC8" s="166">
        <f>IF(ISBLANK(B8),"",IFERROR(20*($P$3+1-$B8)/$P$3,"20.0"))</f>
        <v>18.666666666666668</v>
      </c>
      <c r="AD8" s="166">
        <f t="shared" ref="AD8:AD31" si="17">IF(ISBLANK(B8),"",IFERROR(25*($P$3+1-$B8)/$P$3,"25.0"))</f>
        <v>23.333333333333332</v>
      </c>
      <c r="AE8" s="166">
        <f t="shared" ref="AE8:AE26" si="18">IF(ISBLANK($B8),"",IFERROR(30*($P$3+1-$B8)/$P$3,"30.0"))</f>
        <v>28</v>
      </c>
      <c r="AF8" s="441">
        <f t="shared" ref="AF8:AF31" si="19">IF(ISBLANK($B8),"",IFERROR(40*($P$3+1-$B8)/$P$3,"40.0"))</f>
        <v>37.333333333333336</v>
      </c>
    </row>
    <row r="9" spans="1:32" ht="14" x14ac:dyDescent="0.2">
      <c r="A9" s="71"/>
      <c r="B9" s="373">
        <v>3</v>
      </c>
      <c r="C9" s="187"/>
      <c r="D9" s="188" t="str">
        <f t="shared" si="0"/>
        <v/>
      </c>
      <c r="E9" s="374" t="str">
        <f t="shared" si="1"/>
        <v/>
      </c>
      <c r="F9" s="375">
        <v>3</v>
      </c>
      <c r="G9" s="376"/>
      <c r="H9" s="187" t="str">
        <f t="shared" si="2"/>
        <v/>
      </c>
      <c r="I9" s="377" t="str">
        <f t="shared" si="15"/>
        <v/>
      </c>
      <c r="J9" s="375"/>
      <c r="K9" s="378" t="str">
        <f t="shared" si="3"/>
        <v/>
      </c>
      <c r="L9" s="376" t="str">
        <f t="shared" si="4"/>
        <v/>
      </c>
      <c r="M9" s="226" t="str">
        <f t="shared" si="5"/>
        <v/>
      </c>
      <c r="N9" s="379" t="str">
        <f t="shared" si="6"/>
        <v/>
      </c>
      <c r="O9" s="226">
        <f>ROUND(IF($O$6="MAX=15",AB9,IF($O$6="MAX=20",AC9,IF($O$6="MAX=25",AD9,IF($O$6="MAX=30",AE9,IF($O$6="MAX=40",AF9))))),1)</f>
        <v>21.7</v>
      </c>
      <c r="P9" s="381"/>
      <c r="Q9" s="382"/>
      <c r="R9" s="151"/>
      <c r="S9" s="151"/>
      <c r="T9" s="167" t="str">
        <f t="shared" si="8"/>
        <v/>
      </c>
      <c r="U9" s="168" t="str">
        <f t="shared" si="9"/>
        <v/>
      </c>
      <c r="V9" s="169" t="str">
        <f t="shared" si="10"/>
        <v/>
      </c>
      <c r="W9" s="350" t="str">
        <f t="shared" si="11"/>
        <v/>
      </c>
      <c r="X9" s="351" t="str">
        <f t="shared" si="12"/>
        <v/>
      </c>
      <c r="Y9" s="434" t="str">
        <f t="shared" si="13"/>
        <v/>
      </c>
      <c r="Z9" s="432" t="str">
        <f t="shared" si="14"/>
        <v/>
      </c>
      <c r="AA9" s="159"/>
      <c r="AB9" s="171">
        <f t="shared" si="16"/>
        <v>13</v>
      </c>
      <c r="AC9" s="166">
        <f t="shared" ref="AC9:AC31" si="20">IF(ISBLANK(B9),"",IFERROR(20*($P$3+1-$B9)/$P$3,"20.0"))</f>
        <v>17.333333333333332</v>
      </c>
      <c r="AD9" s="166">
        <f t="shared" si="17"/>
        <v>21.666666666666668</v>
      </c>
      <c r="AE9" s="166">
        <f t="shared" si="18"/>
        <v>26</v>
      </c>
      <c r="AF9" s="441">
        <f t="shared" si="19"/>
        <v>34.666666666666664</v>
      </c>
    </row>
    <row r="10" spans="1:32" ht="14" x14ac:dyDescent="0.2">
      <c r="A10" s="71"/>
      <c r="B10" s="373">
        <v>4</v>
      </c>
      <c r="C10" s="187"/>
      <c r="D10" s="188" t="str">
        <f t="shared" si="0"/>
        <v/>
      </c>
      <c r="E10" s="374" t="str">
        <f t="shared" si="1"/>
        <v/>
      </c>
      <c r="F10" s="375">
        <v>4</v>
      </c>
      <c r="G10" s="376"/>
      <c r="H10" s="187" t="str">
        <f t="shared" si="2"/>
        <v/>
      </c>
      <c r="I10" s="377" t="str">
        <f t="shared" si="15"/>
        <v/>
      </c>
      <c r="J10" s="375"/>
      <c r="K10" s="378" t="str">
        <f t="shared" si="3"/>
        <v/>
      </c>
      <c r="L10" s="376" t="str">
        <f t="shared" si="4"/>
        <v/>
      </c>
      <c r="M10" s="226" t="str">
        <f t="shared" si="5"/>
        <v/>
      </c>
      <c r="N10" s="379" t="str">
        <f t="shared" si="6"/>
        <v/>
      </c>
      <c r="O10" s="226">
        <f t="shared" ref="O10:O31" si="21">ROUND(IF($O$6="MAX=15",AB10,IF($O$6="MAX=20",AC10,IF($O$6="MAX=25",AD10,IF($O$6="MAX=30",AE10,IF($O$6="MAX=40",AF10))))),1)</f>
        <v>20</v>
      </c>
      <c r="P10" s="383"/>
      <c r="Q10" s="382"/>
      <c r="R10" s="151"/>
      <c r="S10" s="151"/>
      <c r="T10" s="167" t="str">
        <f t="shared" si="8"/>
        <v/>
      </c>
      <c r="U10" s="168" t="str">
        <f t="shared" si="9"/>
        <v/>
      </c>
      <c r="V10" s="169" t="str">
        <f t="shared" si="10"/>
        <v/>
      </c>
      <c r="W10" s="350" t="str">
        <f t="shared" si="11"/>
        <v/>
      </c>
      <c r="X10" s="351" t="str">
        <f t="shared" si="12"/>
        <v/>
      </c>
      <c r="Y10" s="434" t="str">
        <f t="shared" si="13"/>
        <v/>
      </c>
      <c r="Z10" s="432" t="str">
        <f t="shared" si="14"/>
        <v/>
      </c>
      <c r="AA10" s="159"/>
      <c r="AB10" s="171">
        <f t="shared" si="16"/>
        <v>12</v>
      </c>
      <c r="AC10" s="166">
        <f t="shared" si="20"/>
        <v>16</v>
      </c>
      <c r="AD10" s="166">
        <f t="shared" si="17"/>
        <v>20</v>
      </c>
      <c r="AE10" s="166">
        <f t="shared" si="18"/>
        <v>24</v>
      </c>
      <c r="AF10" s="441">
        <f t="shared" si="19"/>
        <v>32</v>
      </c>
    </row>
    <row r="11" spans="1:32" ht="14" x14ac:dyDescent="0.2">
      <c r="A11" s="71"/>
      <c r="B11" s="384">
        <v>5</v>
      </c>
      <c r="C11" s="187"/>
      <c r="D11" s="190" t="str">
        <f t="shared" si="0"/>
        <v/>
      </c>
      <c r="E11" s="385" t="str">
        <f t="shared" si="1"/>
        <v/>
      </c>
      <c r="F11" s="386">
        <v>5</v>
      </c>
      <c r="G11" s="387"/>
      <c r="H11" s="388" t="str">
        <f t="shared" si="2"/>
        <v/>
      </c>
      <c r="I11" s="389" t="str">
        <f t="shared" si="15"/>
        <v/>
      </c>
      <c r="J11" s="390"/>
      <c r="K11" s="391" t="str">
        <f t="shared" si="3"/>
        <v/>
      </c>
      <c r="L11" s="392" t="str">
        <f t="shared" si="4"/>
        <v/>
      </c>
      <c r="M11" s="393" t="str">
        <f t="shared" si="5"/>
        <v/>
      </c>
      <c r="N11" s="394" t="str">
        <f t="shared" si="6"/>
        <v/>
      </c>
      <c r="O11" s="393">
        <f t="shared" si="21"/>
        <v>18.3</v>
      </c>
      <c r="P11" s="395"/>
      <c r="Q11" s="396"/>
      <c r="R11" s="151"/>
      <c r="S11" s="151"/>
      <c r="T11" s="167" t="str">
        <f t="shared" si="8"/>
        <v/>
      </c>
      <c r="U11" s="168" t="str">
        <f t="shared" si="9"/>
        <v/>
      </c>
      <c r="V11" s="169" t="str">
        <f t="shared" si="10"/>
        <v/>
      </c>
      <c r="W11" s="350" t="str">
        <f t="shared" si="11"/>
        <v/>
      </c>
      <c r="X11" s="351" t="str">
        <f t="shared" si="12"/>
        <v/>
      </c>
      <c r="Y11" s="434" t="str">
        <f t="shared" si="13"/>
        <v/>
      </c>
      <c r="Z11" s="432" t="str">
        <f t="shared" si="14"/>
        <v/>
      </c>
      <c r="AA11" s="159"/>
      <c r="AB11" s="171">
        <f t="shared" si="16"/>
        <v>11</v>
      </c>
      <c r="AC11" s="166">
        <f t="shared" si="20"/>
        <v>14.666666666666666</v>
      </c>
      <c r="AD11" s="166">
        <f t="shared" si="17"/>
        <v>18.333333333333332</v>
      </c>
      <c r="AE11" s="166">
        <f t="shared" si="18"/>
        <v>22</v>
      </c>
      <c r="AF11" s="441">
        <f t="shared" si="19"/>
        <v>29.333333333333332</v>
      </c>
    </row>
    <row r="12" spans="1:32" ht="14" x14ac:dyDescent="0.2">
      <c r="A12" s="71"/>
      <c r="B12" s="364">
        <v>6</v>
      </c>
      <c r="C12" s="185"/>
      <c r="D12" s="193" t="str">
        <f t="shared" si="0"/>
        <v/>
      </c>
      <c r="E12" s="365" t="str">
        <f t="shared" si="1"/>
        <v/>
      </c>
      <c r="F12" s="366">
        <v>6</v>
      </c>
      <c r="G12" s="367"/>
      <c r="H12" s="185" t="str">
        <f t="shared" si="2"/>
        <v/>
      </c>
      <c r="I12" s="368" t="str">
        <f t="shared" si="15"/>
        <v/>
      </c>
      <c r="J12" s="366"/>
      <c r="K12" s="369" t="str">
        <f t="shared" si="3"/>
        <v/>
      </c>
      <c r="L12" s="367" t="str">
        <f t="shared" si="4"/>
        <v/>
      </c>
      <c r="M12" s="218" t="str">
        <f t="shared" si="5"/>
        <v/>
      </c>
      <c r="N12" s="370" t="str">
        <f t="shared" si="6"/>
        <v/>
      </c>
      <c r="O12" s="218">
        <f t="shared" si="21"/>
        <v>16.7</v>
      </c>
      <c r="Q12" s="372"/>
      <c r="R12" s="151"/>
      <c r="S12" s="151"/>
      <c r="T12" s="167" t="str">
        <f t="shared" si="8"/>
        <v/>
      </c>
      <c r="U12" s="168" t="str">
        <f t="shared" si="9"/>
        <v/>
      </c>
      <c r="V12" s="169" t="str">
        <f t="shared" si="10"/>
        <v/>
      </c>
      <c r="W12" s="350" t="str">
        <f t="shared" si="11"/>
        <v/>
      </c>
      <c r="X12" s="351" t="str">
        <f t="shared" si="12"/>
        <v/>
      </c>
      <c r="Y12" s="434" t="str">
        <f t="shared" si="13"/>
        <v/>
      </c>
      <c r="Z12" s="432" t="str">
        <f t="shared" si="14"/>
        <v/>
      </c>
      <c r="AA12" s="159"/>
      <c r="AB12" s="171">
        <f t="shared" si="16"/>
        <v>10</v>
      </c>
      <c r="AC12" s="166">
        <f t="shared" si="20"/>
        <v>13.333333333333334</v>
      </c>
      <c r="AD12" s="166">
        <f t="shared" si="17"/>
        <v>16.666666666666668</v>
      </c>
      <c r="AE12" s="166">
        <f t="shared" si="18"/>
        <v>20</v>
      </c>
      <c r="AF12" s="441">
        <f t="shared" si="19"/>
        <v>26.666666666666668</v>
      </c>
    </row>
    <row r="13" spans="1:32" ht="14" x14ac:dyDescent="0.2">
      <c r="A13" s="71"/>
      <c r="B13" s="373">
        <v>7</v>
      </c>
      <c r="C13" s="187"/>
      <c r="D13" s="188" t="str">
        <f t="shared" si="0"/>
        <v/>
      </c>
      <c r="E13" s="374" t="str">
        <f t="shared" si="1"/>
        <v/>
      </c>
      <c r="F13" s="375">
        <v>7</v>
      </c>
      <c r="G13" s="376"/>
      <c r="H13" s="187" t="str">
        <f t="shared" si="2"/>
        <v/>
      </c>
      <c r="I13" s="377" t="str">
        <f t="shared" si="15"/>
        <v/>
      </c>
      <c r="J13" s="375"/>
      <c r="K13" s="378" t="str">
        <f t="shared" si="3"/>
        <v/>
      </c>
      <c r="L13" s="376" t="str">
        <f t="shared" si="4"/>
        <v/>
      </c>
      <c r="M13" s="226" t="str">
        <f t="shared" si="5"/>
        <v/>
      </c>
      <c r="N13" s="379" t="str">
        <f t="shared" si="6"/>
        <v/>
      </c>
      <c r="O13" s="226">
        <f t="shared" si="21"/>
        <v>15</v>
      </c>
      <c r="P13" s="397"/>
      <c r="Q13" s="382"/>
      <c r="R13" s="151"/>
      <c r="S13" s="151"/>
      <c r="T13" s="167" t="str">
        <f t="shared" si="8"/>
        <v/>
      </c>
      <c r="U13" s="168" t="str">
        <f t="shared" si="9"/>
        <v/>
      </c>
      <c r="V13" s="169" t="str">
        <f t="shared" si="10"/>
        <v/>
      </c>
      <c r="W13" s="350" t="str">
        <f t="shared" si="11"/>
        <v/>
      </c>
      <c r="X13" s="351" t="str">
        <f t="shared" si="12"/>
        <v/>
      </c>
      <c r="Y13" s="434" t="str">
        <f t="shared" si="13"/>
        <v/>
      </c>
      <c r="Z13" s="432" t="str">
        <f t="shared" si="14"/>
        <v/>
      </c>
      <c r="AA13" s="159"/>
      <c r="AB13" s="171">
        <f t="shared" si="16"/>
        <v>9</v>
      </c>
      <c r="AC13" s="166">
        <f t="shared" si="20"/>
        <v>12</v>
      </c>
      <c r="AD13" s="166">
        <f t="shared" si="17"/>
        <v>15</v>
      </c>
      <c r="AE13" s="166">
        <f t="shared" si="18"/>
        <v>18</v>
      </c>
      <c r="AF13" s="441">
        <f t="shared" si="19"/>
        <v>24</v>
      </c>
    </row>
    <row r="14" spans="1:32" ht="14" x14ac:dyDescent="0.2">
      <c r="A14" s="71"/>
      <c r="B14" s="373">
        <v>8</v>
      </c>
      <c r="C14" s="187"/>
      <c r="D14" s="188" t="str">
        <f t="shared" si="0"/>
        <v/>
      </c>
      <c r="E14" s="374" t="str">
        <f t="shared" si="1"/>
        <v/>
      </c>
      <c r="F14" s="375">
        <v>8</v>
      </c>
      <c r="G14" s="376"/>
      <c r="H14" s="187" t="str">
        <f t="shared" si="2"/>
        <v/>
      </c>
      <c r="I14" s="377" t="str">
        <f t="shared" si="15"/>
        <v/>
      </c>
      <c r="J14" s="375"/>
      <c r="K14" s="378" t="str">
        <f t="shared" si="3"/>
        <v/>
      </c>
      <c r="L14" s="376" t="str">
        <f t="shared" si="4"/>
        <v/>
      </c>
      <c r="M14" s="226" t="str">
        <f t="shared" si="5"/>
        <v/>
      </c>
      <c r="N14" s="379" t="str">
        <f t="shared" si="6"/>
        <v/>
      </c>
      <c r="O14" s="226">
        <f t="shared" si="21"/>
        <v>13.3</v>
      </c>
      <c r="P14" s="381"/>
      <c r="Q14" s="382"/>
      <c r="R14" s="151"/>
      <c r="S14" s="151"/>
      <c r="T14" s="167" t="str">
        <f t="shared" si="8"/>
        <v/>
      </c>
      <c r="U14" s="168" t="str">
        <f t="shared" si="9"/>
        <v/>
      </c>
      <c r="V14" s="169" t="str">
        <f t="shared" si="10"/>
        <v/>
      </c>
      <c r="W14" s="350" t="str">
        <f t="shared" si="11"/>
        <v/>
      </c>
      <c r="X14" s="351" t="str">
        <f t="shared" si="12"/>
        <v/>
      </c>
      <c r="Y14" s="434" t="str">
        <f t="shared" si="13"/>
        <v/>
      </c>
      <c r="Z14" s="432" t="str">
        <f t="shared" si="14"/>
        <v/>
      </c>
      <c r="AA14" s="159"/>
      <c r="AB14" s="171">
        <f t="shared" si="16"/>
        <v>8</v>
      </c>
      <c r="AC14" s="166">
        <f t="shared" si="20"/>
        <v>10.666666666666666</v>
      </c>
      <c r="AD14" s="166">
        <f t="shared" si="17"/>
        <v>13.333333333333334</v>
      </c>
      <c r="AE14" s="166">
        <f t="shared" si="18"/>
        <v>16</v>
      </c>
      <c r="AF14" s="441">
        <f t="shared" si="19"/>
        <v>21.333333333333332</v>
      </c>
    </row>
    <row r="15" spans="1:32" ht="14" x14ac:dyDescent="0.2">
      <c r="A15" s="71"/>
      <c r="B15" s="373">
        <v>9</v>
      </c>
      <c r="C15" s="187"/>
      <c r="D15" s="188" t="str">
        <f t="shared" si="0"/>
        <v/>
      </c>
      <c r="E15" s="374" t="str">
        <f t="shared" si="1"/>
        <v/>
      </c>
      <c r="F15" s="375">
        <v>9</v>
      </c>
      <c r="G15" s="376"/>
      <c r="H15" s="187" t="str">
        <f t="shared" si="2"/>
        <v/>
      </c>
      <c r="I15" s="377" t="str">
        <f t="shared" si="15"/>
        <v/>
      </c>
      <c r="J15" s="375"/>
      <c r="K15" s="378" t="str">
        <f t="shared" si="3"/>
        <v/>
      </c>
      <c r="L15" s="376" t="str">
        <f t="shared" si="4"/>
        <v/>
      </c>
      <c r="M15" s="226" t="str">
        <f t="shared" si="5"/>
        <v/>
      </c>
      <c r="N15" s="379" t="str">
        <f t="shared" si="6"/>
        <v/>
      </c>
      <c r="O15" s="226">
        <f t="shared" si="21"/>
        <v>11.7</v>
      </c>
      <c r="P15" s="397"/>
      <c r="Q15" s="382"/>
      <c r="R15" s="151"/>
      <c r="S15" s="151"/>
      <c r="T15" s="167" t="str">
        <f t="shared" si="8"/>
        <v/>
      </c>
      <c r="U15" s="168" t="str">
        <f t="shared" si="9"/>
        <v/>
      </c>
      <c r="V15" s="169" t="str">
        <f t="shared" si="10"/>
        <v/>
      </c>
      <c r="W15" s="350" t="str">
        <f t="shared" si="11"/>
        <v/>
      </c>
      <c r="X15" s="351" t="str">
        <f t="shared" si="12"/>
        <v/>
      </c>
      <c r="Y15" s="434" t="str">
        <f t="shared" si="13"/>
        <v/>
      </c>
      <c r="Z15" s="432" t="str">
        <f t="shared" si="14"/>
        <v/>
      </c>
      <c r="AA15" s="159"/>
      <c r="AB15" s="171">
        <f t="shared" si="16"/>
        <v>7</v>
      </c>
      <c r="AC15" s="166">
        <f t="shared" si="20"/>
        <v>9.3333333333333339</v>
      </c>
      <c r="AD15" s="166">
        <f t="shared" si="17"/>
        <v>11.666666666666666</v>
      </c>
      <c r="AE15" s="166">
        <f t="shared" si="18"/>
        <v>14</v>
      </c>
      <c r="AF15" s="441">
        <f t="shared" si="19"/>
        <v>18.666666666666668</v>
      </c>
    </row>
    <row r="16" spans="1:32" ht="14" x14ac:dyDescent="0.2">
      <c r="A16" s="71"/>
      <c r="B16" s="384">
        <v>10</v>
      </c>
      <c r="C16" s="187"/>
      <c r="D16" s="190" t="str">
        <f t="shared" si="0"/>
        <v/>
      </c>
      <c r="E16" s="385" t="str">
        <f t="shared" si="1"/>
        <v/>
      </c>
      <c r="F16" s="386">
        <v>10</v>
      </c>
      <c r="G16" s="387"/>
      <c r="H16" s="388" t="str">
        <f t="shared" si="2"/>
        <v/>
      </c>
      <c r="I16" s="389" t="str">
        <f t="shared" si="15"/>
        <v/>
      </c>
      <c r="J16" s="390"/>
      <c r="K16" s="391" t="str">
        <f t="shared" si="3"/>
        <v/>
      </c>
      <c r="L16" s="392" t="str">
        <f t="shared" si="4"/>
        <v/>
      </c>
      <c r="M16" s="393" t="str">
        <f t="shared" si="5"/>
        <v/>
      </c>
      <c r="N16" s="394" t="str">
        <f t="shared" si="6"/>
        <v/>
      </c>
      <c r="O16" s="393">
        <f t="shared" si="21"/>
        <v>10</v>
      </c>
      <c r="P16" s="399"/>
      <c r="Q16" s="396"/>
      <c r="R16" s="151"/>
      <c r="S16" s="151"/>
      <c r="T16" s="167" t="str">
        <f t="shared" si="8"/>
        <v/>
      </c>
      <c r="U16" s="168" t="str">
        <f t="shared" si="9"/>
        <v/>
      </c>
      <c r="V16" s="169" t="str">
        <f t="shared" si="10"/>
        <v/>
      </c>
      <c r="W16" s="350" t="str">
        <f t="shared" si="11"/>
        <v/>
      </c>
      <c r="X16" s="351" t="str">
        <f t="shared" si="12"/>
        <v/>
      </c>
      <c r="Y16" s="434" t="str">
        <f t="shared" si="13"/>
        <v/>
      </c>
      <c r="Z16" s="432" t="str">
        <f t="shared" si="14"/>
        <v/>
      </c>
      <c r="AA16" s="159"/>
      <c r="AB16" s="171">
        <f t="shared" si="16"/>
        <v>6</v>
      </c>
      <c r="AC16" s="166">
        <f t="shared" si="20"/>
        <v>8</v>
      </c>
      <c r="AD16" s="166">
        <f t="shared" si="17"/>
        <v>10</v>
      </c>
      <c r="AE16" s="166">
        <f t="shared" si="18"/>
        <v>12</v>
      </c>
      <c r="AF16" s="441">
        <f t="shared" si="19"/>
        <v>16</v>
      </c>
    </row>
    <row r="17" spans="1:32" ht="14" x14ac:dyDescent="0.2">
      <c r="A17" s="71"/>
      <c r="B17" s="364">
        <v>11</v>
      </c>
      <c r="C17" s="185"/>
      <c r="D17" s="193" t="str">
        <f t="shared" si="0"/>
        <v/>
      </c>
      <c r="E17" s="365" t="str">
        <f t="shared" si="1"/>
        <v/>
      </c>
      <c r="F17" s="366">
        <v>11</v>
      </c>
      <c r="G17" s="367"/>
      <c r="H17" s="185" t="str">
        <f t="shared" si="2"/>
        <v/>
      </c>
      <c r="I17" s="368" t="str">
        <f t="shared" si="15"/>
        <v/>
      </c>
      <c r="J17" s="366"/>
      <c r="K17" s="369" t="str">
        <f t="shared" si="3"/>
        <v/>
      </c>
      <c r="L17" s="367" t="str">
        <f t="shared" si="4"/>
        <v/>
      </c>
      <c r="M17" s="218" t="str">
        <f t="shared" si="5"/>
        <v/>
      </c>
      <c r="N17" s="370" t="str">
        <f t="shared" si="6"/>
        <v/>
      </c>
      <c r="O17" s="218">
        <f t="shared" si="21"/>
        <v>8.3000000000000007</v>
      </c>
      <c r="P17" s="400"/>
      <c r="Q17" s="372"/>
      <c r="R17" s="151"/>
      <c r="S17" s="151"/>
      <c r="T17" s="167" t="str">
        <f t="shared" si="8"/>
        <v/>
      </c>
      <c r="U17" s="168" t="str">
        <f t="shared" si="9"/>
        <v/>
      </c>
      <c r="V17" s="169" t="str">
        <f t="shared" si="10"/>
        <v/>
      </c>
      <c r="W17" s="350" t="str">
        <f t="shared" si="11"/>
        <v/>
      </c>
      <c r="X17" s="351" t="str">
        <f t="shared" si="12"/>
        <v/>
      </c>
      <c r="Y17" s="434" t="str">
        <f t="shared" si="13"/>
        <v/>
      </c>
      <c r="Z17" s="432" t="str">
        <f t="shared" si="14"/>
        <v/>
      </c>
      <c r="AA17" s="159"/>
      <c r="AB17" s="171">
        <f t="shared" si="16"/>
        <v>5</v>
      </c>
      <c r="AC17" s="166">
        <f t="shared" si="20"/>
        <v>6.666666666666667</v>
      </c>
      <c r="AD17" s="166">
        <f t="shared" si="17"/>
        <v>8.3333333333333339</v>
      </c>
      <c r="AE17" s="166">
        <f t="shared" si="18"/>
        <v>10</v>
      </c>
      <c r="AF17" s="441">
        <f t="shared" si="19"/>
        <v>13.333333333333334</v>
      </c>
    </row>
    <row r="18" spans="1:32" ht="14" x14ac:dyDescent="0.2">
      <c r="A18" s="71"/>
      <c r="B18" s="373">
        <v>12</v>
      </c>
      <c r="C18" s="187"/>
      <c r="D18" s="188" t="str">
        <f t="shared" si="0"/>
        <v/>
      </c>
      <c r="E18" s="374" t="str">
        <f t="shared" si="1"/>
        <v/>
      </c>
      <c r="F18" s="375">
        <v>12</v>
      </c>
      <c r="G18" s="376"/>
      <c r="H18" s="187" t="str">
        <f t="shared" si="2"/>
        <v/>
      </c>
      <c r="I18" s="377" t="str">
        <f t="shared" si="15"/>
        <v/>
      </c>
      <c r="J18" s="375"/>
      <c r="K18" s="378" t="str">
        <f t="shared" si="3"/>
        <v/>
      </c>
      <c r="L18" s="376" t="str">
        <f t="shared" si="4"/>
        <v/>
      </c>
      <c r="M18" s="226" t="str">
        <f t="shared" si="5"/>
        <v/>
      </c>
      <c r="N18" s="379" t="str">
        <f t="shared" si="6"/>
        <v/>
      </c>
      <c r="O18" s="226">
        <f t="shared" si="21"/>
        <v>6.7</v>
      </c>
      <c r="P18" s="397"/>
      <c r="Q18" s="382"/>
      <c r="R18" s="151"/>
      <c r="S18" s="151"/>
      <c r="T18" s="167" t="str">
        <f t="shared" si="8"/>
        <v/>
      </c>
      <c r="U18" s="168" t="str">
        <f t="shared" si="9"/>
        <v/>
      </c>
      <c r="V18" s="169" t="str">
        <f t="shared" si="10"/>
        <v/>
      </c>
      <c r="W18" s="350" t="str">
        <f t="shared" si="11"/>
        <v/>
      </c>
      <c r="X18" s="351" t="str">
        <f t="shared" si="12"/>
        <v/>
      </c>
      <c r="Y18" s="434" t="str">
        <f t="shared" si="13"/>
        <v/>
      </c>
      <c r="Z18" s="432" t="str">
        <f t="shared" si="14"/>
        <v/>
      </c>
      <c r="AA18" s="159"/>
      <c r="AB18" s="171">
        <f t="shared" si="16"/>
        <v>4</v>
      </c>
      <c r="AC18" s="166">
        <f t="shared" si="20"/>
        <v>5.333333333333333</v>
      </c>
      <c r="AD18" s="166">
        <f t="shared" si="17"/>
        <v>6.666666666666667</v>
      </c>
      <c r="AE18" s="166">
        <f t="shared" si="18"/>
        <v>8</v>
      </c>
      <c r="AF18" s="441">
        <f t="shared" si="19"/>
        <v>10.666666666666666</v>
      </c>
    </row>
    <row r="19" spans="1:32" ht="14" x14ac:dyDescent="0.2">
      <c r="A19" s="71"/>
      <c r="B19" s="373">
        <v>13</v>
      </c>
      <c r="C19" s="187"/>
      <c r="D19" s="188" t="str">
        <f t="shared" si="0"/>
        <v/>
      </c>
      <c r="E19" s="374" t="str">
        <f t="shared" si="1"/>
        <v/>
      </c>
      <c r="F19" s="375">
        <v>13</v>
      </c>
      <c r="G19" s="376"/>
      <c r="H19" s="187" t="str">
        <f t="shared" si="2"/>
        <v/>
      </c>
      <c r="I19" s="377" t="str">
        <f t="shared" si="15"/>
        <v/>
      </c>
      <c r="J19" s="375"/>
      <c r="K19" s="378" t="str">
        <f t="shared" si="3"/>
        <v/>
      </c>
      <c r="L19" s="376" t="str">
        <f t="shared" si="4"/>
        <v/>
      </c>
      <c r="M19" s="226" t="str">
        <f t="shared" si="5"/>
        <v/>
      </c>
      <c r="N19" s="379" t="str">
        <f t="shared" si="6"/>
        <v/>
      </c>
      <c r="O19" s="226">
        <f t="shared" si="21"/>
        <v>5</v>
      </c>
      <c r="P19" s="397"/>
      <c r="Q19" s="382"/>
      <c r="R19" s="151"/>
      <c r="S19" s="151"/>
      <c r="T19" s="167" t="str">
        <f t="shared" si="8"/>
        <v/>
      </c>
      <c r="U19" s="168" t="str">
        <f t="shared" si="9"/>
        <v/>
      </c>
      <c r="V19" s="169" t="str">
        <f t="shared" si="10"/>
        <v/>
      </c>
      <c r="W19" s="350" t="str">
        <f t="shared" si="11"/>
        <v/>
      </c>
      <c r="X19" s="351" t="str">
        <f t="shared" si="12"/>
        <v/>
      </c>
      <c r="Y19" s="434" t="str">
        <f t="shared" si="13"/>
        <v/>
      </c>
      <c r="Z19" s="432" t="str">
        <f t="shared" si="14"/>
        <v/>
      </c>
      <c r="AA19" s="159"/>
      <c r="AB19" s="171">
        <f t="shared" si="16"/>
        <v>3</v>
      </c>
      <c r="AC19" s="166">
        <f t="shared" si="20"/>
        <v>4</v>
      </c>
      <c r="AD19" s="166">
        <f t="shared" si="17"/>
        <v>5</v>
      </c>
      <c r="AE19" s="166">
        <f t="shared" si="18"/>
        <v>6</v>
      </c>
      <c r="AF19" s="441">
        <f t="shared" si="19"/>
        <v>8</v>
      </c>
    </row>
    <row r="20" spans="1:32" ht="14" x14ac:dyDescent="0.2">
      <c r="A20" s="71"/>
      <c r="B20" s="373">
        <v>14</v>
      </c>
      <c r="C20" s="187"/>
      <c r="D20" s="188" t="str">
        <f t="shared" si="0"/>
        <v/>
      </c>
      <c r="E20" s="374" t="str">
        <f t="shared" si="1"/>
        <v/>
      </c>
      <c r="F20" s="375">
        <v>14</v>
      </c>
      <c r="G20" s="376"/>
      <c r="H20" s="187" t="str">
        <f t="shared" si="2"/>
        <v/>
      </c>
      <c r="I20" s="377" t="str">
        <f t="shared" si="15"/>
        <v/>
      </c>
      <c r="J20" s="375"/>
      <c r="K20" s="378" t="str">
        <f t="shared" si="3"/>
        <v/>
      </c>
      <c r="L20" s="376" t="str">
        <f t="shared" si="4"/>
        <v/>
      </c>
      <c r="M20" s="226" t="str">
        <f t="shared" si="5"/>
        <v/>
      </c>
      <c r="N20" s="379" t="str">
        <f t="shared" si="6"/>
        <v/>
      </c>
      <c r="O20" s="226">
        <f t="shared" si="21"/>
        <v>3.3</v>
      </c>
      <c r="P20" s="400"/>
      <c r="Q20" s="382"/>
      <c r="R20" s="151"/>
      <c r="S20" s="151"/>
      <c r="T20" s="167" t="str">
        <f t="shared" si="8"/>
        <v/>
      </c>
      <c r="U20" s="168" t="str">
        <f t="shared" si="9"/>
        <v/>
      </c>
      <c r="V20" s="169" t="str">
        <f t="shared" si="10"/>
        <v/>
      </c>
      <c r="W20" s="350" t="str">
        <f t="shared" si="11"/>
        <v/>
      </c>
      <c r="X20" s="351" t="str">
        <f t="shared" si="12"/>
        <v/>
      </c>
      <c r="Y20" s="434" t="str">
        <f t="shared" si="13"/>
        <v/>
      </c>
      <c r="Z20" s="432" t="str">
        <f t="shared" si="14"/>
        <v/>
      </c>
      <c r="AA20" s="159"/>
      <c r="AB20" s="171">
        <f t="shared" si="16"/>
        <v>2</v>
      </c>
      <c r="AC20" s="166">
        <f t="shared" si="20"/>
        <v>2.6666666666666665</v>
      </c>
      <c r="AD20" s="166">
        <f t="shared" si="17"/>
        <v>3.3333333333333335</v>
      </c>
      <c r="AE20" s="166">
        <f t="shared" si="18"/>
        <v>4</v>
      </c>
      <c r="AF20" s="441">
        <f t="shared" si="19"/>
        <v>5.333333333333333</v>
      </c>
    </row>
    <row r="21" spans="1:32" ht="14" x14ac:dyDescent="0.2">
      <c r="A21" s="71"/>
      <c r="B21" s="384">
        <v>15</v>
      </c>
      <c r="C21" s="187"/>
      <c r="D21" s="190" t="str">
        <f t="shared" si="0"/>
        <v/>
      </c>
      <c r="E21" s="385" t="str">
        <f t="shared" si="1"/>
        <v/>
      </c>
      <c r="F21" s="386">
        <v>15</v>
      </c>
      <c r="G21" s="387"/>
      <c r="H21" s="388" t="str">
        <f t="shared" si="2"/>
        <v/>
      </c>
      <c r="I21" s="389" t="str">
        <f t="shared" si="15"/>
        <v/>
      </c>
      <c r="J21" s="390"/>
      <c r="K21" s="391" t="str">
        <f t="shared" si="3"/>
        <v/>
      </c>
      <c r="L21" s="392" t="str">
        <f t="shared" si="4"/>
        <v/>
      </c>
      <c r="M21" s="393" t="str">
        <f t="shared" si="5"/>
        <v/>
      </c>
      <c r="N21" s="394" t="str">
        <f t="shared" si="6"/>
        <v/>
      </c>
      <c r="O21" s="393">
        <f t="shared" si="21"/>
        <v>1.7</v>
      </c>
      <c r="P21" s="399"/>
      <c r="Q21" s="396"/>
      <c r="R21" s="151"/>
      <c r="S21" s="151"/>
      <c r="T21" s="167" t="str">
        <f t="shared" si="8"/>
        <v/>
      </c>
      <c r="U21" s="168" t="str">
        <f t="shared" si="9"/>
        <v/>
      </c>
      <c r="V21" s="169" t="str">
        <f t="shared" si="10"/>
        <v/>
      </c>
      <c r="W21" s="350" t="str">
        <f t="shared" si="11"/>
        <v/>
      </c>
      <c r="X21" s="351" t="str">
        <f t="shared" si="12"/>
        <v/>
      </c>
      <c r="Y21" s="434" t="str">
        <f t="shared" si="13"/>
        <v/>
      </c>
      <c r="Z21" s="432" t="str">
        <f t="shared" si="14"/>
        <v/>
      </c>
      <c r="AA21" s="159"/>
      <c r="AB21" s="171">
        <f t="shared" si="16"/>
        <v>1</v>
      </c>
      <c r="AC21" s="166">
        <f t="shared" si="20"/>
        <v>1.3333333333333333</v>
      </c>
      <c r="AD21" s="166">
        <f t="shared" si="17"/>
        <v>1.6666666666666667</v>
      </c>
      <c r="AE21" s="166">
        <f t="shared" si="18"/>
        <v>2</v>
      </c>
      <c r="AF21" s="441">
        <f t="shared" si="19"/>
        <v>2.6666666666666665</v>
      </c>
    </row>
    <row r="22" spans="1:32" ht="14" x14ac:dyDescent="0.2">
      <c r="A22" s="71"/>
      <c r="B22" s="401"/>
      <c r="C22" s="185"/>
      <c r="D22" s="193" t="str">
        <f t="shared" si="0"/>
        <v/>
      </c>
      <c r="E22" s="365" t="str">
        <f t="shared" si="1"/>
        <v/>
      </c>
      <c r="F22" s="402"/>
      <c r="G22" s="367"/>
      <c r="H22" s="185" t="str">
        <f t="shared" si="2"/>
        <v/>
      </c>
      <c r="I22" s="368" t="str">
        <f t="shared" si="15"/>
        <v/>
      </c>
      <c r="J22" s="366"/>
      <c r="K22" s="369" t="str">
        <f t="shared" si="3"/>
        <v/>
      </c>
      <c r="L22" s="367" t="str">
        <f t="shared" si="4"/>
        <v/>
      </c>
      <c r="M22" s="218" t="str">
        <f t="shared" si="5"/>
        <v/>
      </c>
      <c r="N22" s="370" t="str">
        <f t="shared" si="6"/>
        <v/>
      </c>
      <c r="O22" s="218" t="e">
        <f t="shared" si="21"/>
        <v>#VALUE!</v>
      </c>
      <c r="P22" s="403"/>
      <c r="Q22" s="404"/>
      <c r="R22" s="151"/>
      <c r="S22" s="151"/>
      <c r="T22" s="167" t="str">
        <f t="shared" si="8"/>
        <v/>
      </c>
      <c r="U22" s="168" t="str">
        <f t="shared" si="9"/>
        <v/>
      </c>
      <c r="V22" s="169" t="str">
        <f t="shared" si="10"/>
        <v/>
      </c>
      <c r="W22" s="350" t="str">
        <f t="shared" si="11"/>
        <v/>
      </c>
      <c r="X22" s="351" t="str">
        <f t="shared" si="12"/>
        <v/>
      </c>
      <c r="Y22" s="434" t="str">
        <f t="shared" si="13"/>
        <v/>
      </c>
      <c r="Z22" s="432" t="str">
        <f t="shared" si="14"/>
        <v/>
      </c>
      <c r="AA22" s="159"/>
      <c r="AB22" s="171" t="str">
        <f t="shared" si="16"/>
        <v/>
      </c>
      <c r="AC22" s="166" t="str">
        <f t="shared" si="20"/>
        <v/>
      </c>
      <c r="AD22" s="166" t="str">
        <f t="shared" si="17"/>
        <v/>
      </c>
      <c r="AE22" s="166" t="str">
        <f t="shared" si="18"/>
        <v/>
      </c>
      <c r="AF22" s="441" t="str">
        <f t="shared" si="19"/>
        <v/>
      </c>
    </row>
    <row r="23" spans="1:32" ht="14" x14ac:dyDescent="0.2">
      <c r="A23" s="71"/>
      <c r="B23" s="373"/>
      <c r="C23" s="187"/>
      <c r="D23" s="188" t="str">
        <f t="shared" si="0"/>
        <v/>
      </c>
      <c r="E23" s="374" t="str">
        <f t="shared" si="1"/>
        <v/>
      </c>
      <c r="F23" s="375"/>
      <c r="G23" s="376"/>
      <c r="H23" s="187" t="str">
        <f t="shared" si="2"/>
        <v/>
      </c>
      <c r="I23" s="377" t="str">
        <f t="shared" si="15"/>
        <v/>
      </c>
      <c r="J23" s="375"/>
      <c r="K23" s="378" t="str">
        <f t="shared" si="3"/>
        <v/>
      </c>
      <c r="L23" s="376" t="str">
        <f t="shared" si="4"/>
        <v/>
      </c>
      <c r="M23" s="226" t="str">
        <f t="shared" si="5"/>
        <v/>
      </c>
      <c r="N23" s="379" t="str">
        <f t="shared" si="6"/>
        <v/>
      </c>
      <c r="O23" s="226" t="e">
        <f t="shared" si="21"/>
        <v>#VALUE!</v>
      </c>
      <c r="P23" s="397"/>
      <c r="Q23" s="382"/>
      <c r="R23" s="151"/>
      <c r="S23" s="151"/>
      <c r="T23" s="167" t="str">
        <f t="shared" si="8"/>
        <v/>
      </c>
      <c r="U23" s="168" t="str">
        <f t="shared" si="9"/>
        <v/>
      </c>
      <c r="V23" s="169" t="str">
        <f t="shared" si="10"/>
        <v/>
      </c>
      <c r="W23" s="350" t="str">
        <f t="shared" si="11"/>
        <v/>
      </c>
      <c r="X23" s="351" t="str">
        <f t="shared" si="12"/>
        <v/>
      </c>
      <c r="Y23" s="434" t="str">
        <f t="shared" si="13"/>
        <v/>
      </c>
      <c r="Z23" s="432" t="str">
        <f t="shared" si="14"/>
        <v/>
      </c>
      <c r="AA23" s="159"/>
      <c r="AB23" s="171" t="str">
        <f t="shared" si="16"/>
        <v/>
      </c>
      <c r="AC23" s="166" t="str">
        <f t="shared" si="20"/>
        <v/>
      </c>
      <c r="AD23" s="166" t="str">
        <f t="shared" si="17"/>
        <v/>
      </c>
      <c r="AE23" s="166" t="str">
        <f t="shared" si="18"/>
        <v/>
      </c>
      <c r="AF23" s="441" t="str">
        <f t="shared" si="19"/>
        <v/>
      </c>
    </row>
    <row r="24" spans="1:32" ht="14" x14ac:dyDescent="0.2">
      <c r="A24" s="71"/>
      <c r="B24" s="401"/>
      <c r="C24" s="187"/>
      <c r="D24" s="188" t="str">
        <f t="shared" si="0"/>
        <v/>
      </c>
      <c r="E24" s="374"/>
      <c r="F24" s="375"/>
      <c r="G24" s="376"/>
      <c r="H24" s="187"/>
      <c r="I24" s="377" t="str">
        <f t="shared" si="15"/>
        <v/>
      </c>
      <c r="J24" s="375"/>
      <c r="K24" s="378"/>
      <c r="L24" s="376"/>
      <c r="M24" s="226"/>
      <c r="N24" s="379"/>
      <c r="O24" s="226" t="e">
        <f t="shared" si="21"/>
        <v>#VALUE!</v>
      </c>
      <c r="P24" s="405"/>
      <c r="Q24" s="382"/>
      <c r="R24" s="151"/>
      <c r="S24" s="151"/>
      <c r="T24" s="167" t="str">
        <f t="shared" si="8"/>
        <v/>
      </c>
      <c r="U24" s="168" t="str">
        <f t="shared" si="9"/>
        <v/>
      </c>
      <c r="V24" s="169" t="str">
        <f t="shared" si="10"/>
        <v/>
      </c>
      <c r="W24" s="350" t="str">
        <f t="shared" si="11"/>
        <v/>
      </c>
      <c r="X24" s="351" t="str">
        <f t="shared" si="12"/>
        <v/>
      </c>
      <c r="Y24" s="434" t="str">
        <f t="shared" si="13"/>
        <v/>
      </c>
      <c r="Z24" s="432" t="str">
        <f t="shared" si="14"/>
        <v/>
      </c>
      <c r="AA24" s="159"/>
      <c r="AB24" s="171" t="str">
        <f t="shared" si="16"/>
        <v/>
      </c>
      <c r="AC24" s="166" t="str">
        <f t="shared" si="20"/>
        <v/>
      </c>
      <c r="AD24" s="166" t="str">
        <f t="shared" si="17"/>
        <v/>
      </c>
      <c r="AE24" s="166" t="str">
        <f t="shared" si="18"/>
        <v/>
      </c>
      <c r="AF24" s="441" t="str">
        <f t="shared" si="19"/>
        <v/>
      </c>
    </row>
    <row r="25" spans="1:32" ht="14" x14ac:dyDescent="0.2">
      <c r="A25" s="71"/>
      <c r="B25" s="373"/>
      <c r="C25" s="187"/>
      <c r="D25" s="188" t="str">
        <f t="shared" si="0"/>
        <v/>
      </c>
      <c r="E25" s="374"/>
      <c r="F25" s="375"/>
      <c r="G25" s="376"/>
      <c r="H25" s="187"/>
      <c r="I25" s="377" t="str">
        <f t="shared" si="15"/>
        <v/>
      </c>
      <c r="J25" s="375"/>
      <c r="K25" s="378"/>
      <c r="L25" s="376"/>
      <c r="M25" s="226"/>
      <c r="N25" s="379"/>
      <c r="O25" s="226" t="e">
        <f t="shared" si="21"/>
        <v>#VALUE!</v>
      </c>
      <c r="P25" s="405"/>
      <c r="Q25" s="382"/>
      <c r="R25" s="151"/>
      <c r="S25" s="151"/>
      <c r="T25" s="167" t="str">
        <f t="shared" si="8"/>
        <v/>
      </c>
      <c r="U25" s="168" t="str">
        <f t="shared" si="9"/>
        <v/>
      </c>
      <c r="V25" s="169" t="str">
        <f t="shared" si="10"/>
        <v/>
      </c>
      <c r="W25" s="350" t="str">
        <f t="shared" si="11"/>
        <v/>
      </c>
      <c r="X25" s="351" t="str">
        <f t="shared" si="12"/>
        <v/>
      </c>
      <c r="Y25" s="434" t="str">
        <f t="shared" si="13"/>
        <v/>
      </c>
      <c r="Z25" s="432" t="str">
        <f t="shared" si="14"/>
        <v/>
      </c>
      <c r="AA25" s="159"/>
      <c r="AB25" s="171" t="str">
        <f t="shared" si="16"/>
        <v/>
      </c>
      <c r="AC25" s="166" t="str">
        <f t="shared" si="20"/>
        <v/>
      </c>
      <c r="AD25" s="166" t="str">
        <f t="shared" si="17"/>
        <v/>
      </c>
      <c r="AE25" s="166" t="str">
        <f t="shared" si="18"/>
        <v/>
      </c>
      <c r="AF25" s="441" t="str">
        <f t="shared" si="19"/>
        <v/>
      </c>
    </row>
    <row r="26" spans="1:32" ht="14" x14ac:dyDescent="0.2">
      <c r="A26" s="71"/>
      <c r="B26" s="384"/>
      <c r="C26" s="189"/>
      <c r="D26" s="190" t="str">
        <f t="shared" si="0"/>
        <v/>
      </c>
      <c r="E26" s="385"/>
      <c r="F26" s="386"/>
      <c r="G26" s="387"/>
      <c r="H26" s="388"/>
      <c r="I26" s="389" t="str">
        <f t="shared" si="15"/>
        <v/>
      </c>
      <c r="J26" s="390"/>
      <c r="K26" s="391"/>
      <c r="L26" s="392"/>
      <c r="M26" s="393"/>
      <c r="N26" s="394"/>
      <c r="O26" s="393" t="e">
        <f t="shared" si="21"/>
        <v>#VALUE!</v>
      </c>
      <c r="P26" s="406"/>
      <c r="Q26" s="396"/>
      <c r="R26" s="151"/>
      <c r="S26" s="151"/>
      <c r="T26" s="167" t="str">
        <f t="shared" si="8"/>
        <v/>
      </c>
      <c r="U26" s="168" t="str">
        <f t="shared" si="9"/>
        <v/>
      </c>
      <c r="V26" s="169" t="str">
        <f t="shared" si="10"/>
        <v/>
      </c>
      <c r="W26" s="350" t="str">
        <f t="shared" si="11"/>
        <v/>
      </c>
      <c r="X26" s="351" t="str">
        <f t="shared" si="12"/>
        <v/>
      </c>
      <c r="Y26" s="434" t="str">
        <f t="shared" si="13"/>
        <v/>
      </c>
      <c r="Z26" s="432" t="str">
        <f t="shared" si="14"/>
        <v/>
      </c>
      <c r="AA26" s="159"/>
      <c r="AB26" s="171" t="str">
        <f t="shared" si="16"/>
        <v/>
      </c>
      <c r="AC26" s="166" t="str">
        <f t="shared" si="20"/>
        <v/>
      </c>
      <c r="AD26" s="166" t="str">
        <f t="shared" si="17"/>
        <v/>
      </c>
      <c r="AE26" s="166" t="str">
        <f t="shared" si="18"/>
        <v/>
      </c>
      <c r="AF26" s="441" t="str">
        <f t="shared" si="19"/>
        <v/>
      </c>
    </row>
    <row r="27" spans="1:32" ht="14" x14ac:dyDescent="0.2">
      <c r="A27" s="71"/>
      <c r="B27" s="401"/>
      <c r="C27" s="191"/>
      <c r="D27" s="193" t="str">
        <f t="shared" si="0"/>
        <v/>
      </c>
      <c r="E27" s="402"/>
      <c r="F27" s="402"/>
      <c r="G27" s="407"/>
      <c r="H27" s="185" t="str">
        <f>IFERROR(IF(G27-$Q$2&lt;=0,"",(G27-$Q$2)*86400),"")</f>
        <v/>
      </c>
      <c r="I27" s="368" t="str">
        <f t="shared" si="15"/>
        <v/>
      </c>
      <c r="J27" s="366"/>
      <c r="K27" s="369" t="str">
        <f>IFERROR(H27*(1+0.01*J27)-I27*$N$3,"")</f>
        <v/>
      </c>
      <c r="L27" s="367" t="str">
        <f>IFERROR((K27-$K$7)/86400,"")</f>
        <v/>
      </c>
      <c r="M27" s="218" t="str">
        <f>IFERROR((K27-$K$7)/$N$3,"")</f>
        <v/>
      </c>
      <c r="N27" s="370" t="str">
        <f>IFERROR($N$3/(H27/3600),"")</f>
        <v/>
      </c>
      <c r="O27" s="218" t="e">
        <f t="shared" si="21"/>
        <v>#VALUE!</v>
      </c>
      <c r="P27" s="408"/>
      <c r="Q27" s="404"/>
      <c r="R27" s="151"/>
      <c r="S27" s="151"/>
      <c r="T27" s="167" t="str">
        <f t="shared" si="8"/>
        <v/>
      </c>
      <c r="U27" s="168" t="str">
        <f t="shared" si="9"/>
        <v/>
      </c>
      <c r="V27" s="169" t="str">
        <f t="shared" si="10"/>
        <v/>
      </c>
      <c r="W27" s="350" t="str">
        <f t="shared" si="11"/>
        <v/>
      </c>
      <c r="X27" s="351" t="str">
        <f t="shared" si="12"/>
        <v/>
      </c>
      <c r="Y27" s="434" t="str">
        <f t="shared" si="13"/>
        <v/>
      </c>
      <c r="Z27" s="432" t="str">
        <f t="shared" si="14"/>
        <v/>
      </c>
      <c r="AA27" s="159"/>
      <c r="AB27" s="171" t="str">
        <f t="shared" si="16"/>
        <v/>
      </c>
      <c r="AC27" s="166" t="str">
        <f t="shared" si="20"/>
        <v/>
      </c>
      <c r="AD27" s="166" t="str">
        <f t="shared" si="17"/>
        <v/>
      </c>
      <c r="AE27" s="437" t="str">
        <f t="shared" ref="AE27:AE31" si="22">IF(ISBLANK(C27),"",IFERROR(30*($P$3-$B27)/($P$3-1)+10,"30.0"))</f>
        <v/>
      </c>
      <c r="AF27" s="441" t="str">
        <f t="shared" si="19"/>
        <v/>
      </c>
    </row>
    <row r="28" spans="1:32" ht="14.25" customHeight="1" x14ac:dyDescent="0.2">
      <c r="A28" s="71"/>
      <c r="B28" s="373"/>
      <c r="C28" s="187"/>
      <c r="D28" s="188" t="str">
        <f t="shared" si="0"/>
        <v/>
      </c>
      <c r="E28" s="375"/>
      <c r="F28" s="375"/>
      <c r="G28" s="376"/>
      <c r="H28" s="187"/>
      <c r="I28" s="377" t="str">
        <f t="shared" si="15"/>
        <v/>
      </c>
      <c r="J28" s="375"/>
      <c r="K28" s="378"/>
      <c r="L28" s="376"/>
      <c r="M28" s="226"/>
      <c r="N28" s="379"/>
      <c r="O28" s="226" t="e">
        <f t="shared" si="21"/>
        <v>#VALUE!</v>
      </c>
      <c r="P28" s="409"/>
      <c r="Q28" s="382"/>
      <c r="R28" s="151"/>
      <c r="S28" s="151"/>
      <c r="T28" s="167" t="str">
        <f t="shared" si="8"/>
        <v/>
      </c>
      <c r="U28" s="168" t="str">
        <f t="shared" si="9"/>
        <v/>
      </c>
      <c r="V28" s="169" t="str">
        <f t="shared" si="10"/>
        <v/>
      </c>
      <c r="W28" s="350" t="str">
        <f t="shared" si="11"/>
        <v/>
      </c>
      <c r="X28" s="351" t="str">
        <f t="shared" si="12"/>
        <v/>
      </c>
      <c r="Y28" s="434" t="str">
        <f t="shared" si="13"/>
        <v/>
      </c>
      <c r="Z28" s="432" t="str">
        <f t="shared" si="14"/>
        <v/>
      </c>
      <c r="AA28" s="159"/>
      <c r="AB28" s="171" t="str">
        <f t="shared" si="16"/>
        <v/>
      </c>
      <c r="AC28" s="166" t="str">
        <f t="shared" si="20"/>
        <v/>
      </c>
      <c r="AD28" s="166" t="str">
        <f t="shared" si="17"/>
        <v/>
      </c>
      <c r="AE28" s="437" t="str">
        <f t="shared" si="22"/>
        <v/>
      </c>
      <c r="AF28" s="441" t="str">
        <f t="shared" si="19"/>
        <v/>
      </c>
    </row>
    <row r="29" spans="1:32" ht="14" x14ac:dyDescent="0.2">
      <c r="A29" s="71"/>
      <c r="B29" s="373"/>
      <c r="C29" s="187"/>
      <c r="D29" s="188" t="str">
        <f t="shared" si="0"/>
        <v/>
      </c>
      <c r="E29" s="375"/>
      <c r="F29" s="375"/>
      <c r="G29" s="376"/>
      <c r="H29" s="187"/>
      <c r="I29" s="377" t="str">
        <f t="shared" si="15"/>
        <v/>
      </c>
      <c r="J29" s="375"/>
      <c r="K29" s="378"/>
      <c r="L29" s="376"/>
      <c r="M29" s="226"/>
      <c r="N29" s="379"/>
      <c r="O29" s="226" t="e">
        <f t="shared" si="21"/>
        <v>#VALUE!</v>
      </c>
      <c r="P29" s="405"/>
      <c r="Q29" s="382"/>
      <c r="R29" s="151"/>
      <c r="S29" s="151"/>
      <c r="T29" s="167" t="str">
        <f t="shared" si="8"/>
        <v/>
      </c>
      <c r="U29" s="168" t="str">
        <f t="shared" si="9"/>
        <v/>
      </c>
      <c r="V29" s="169" t="str">
        <f t="shared" si="10"/>
        <v/>
      </c>
      <c r="W29" s="350" t="str">
        <f t="shared" si="11"/>
        <v/>
      </c>
      <c r="X29" s="351" t="str">
        <f t="shared" si="12"/>
        <v/>
      </c>
      <c r="Y29" s="434" t="str">
        <f t="shared" si="13"/>
        <v/>
      </c>
      <c r="Z29" s="432" t="str">
        <f t="shared" si="14"/>
        <v/>
      </c>
      <c r="AA29" s="159"/>
      <c r="AB29" s="171" t="str">
        <f t="shared" si="16"/>
        <v/>
      </c>
      <c r="AC29" s="166" t="str">
        <f t="shared" si="20"/>
        <v/>
      </c>
      <c r="AD29" s="166" t="str">
        <f t="shared" si="17"/>
        <v/>
      </c>
      <c r="AE29" s="437" t="str">
        <f t="shared" si="22"/>
        <v/>
      </c>
      <c r="AF29" s="441" t="str">
        <f t="shared" si="19"/>
        <v/>
      </c>
    </row>
    <row r="30" spans="1:32" ht="14.25" customHeight="1" x14ac:dyDescent="0.2">
      <c r="A30" s="71"/>
      <c r="B30" s="373"/>
      <c r="C30" s="187"/>
      <c r="D30" s="188" t="str">
        <f t="shared" si="0"/>
        <v/>
      </c>
      <c r="E30" s="375"/>
      <c r="F30" s="375"/>
      <c r="G30" s="376"/>
      <c r="H30" s="187"/>
      <c r="I30" s="377" t="str">
        <f t="shared" si="15"/>
        <v/>
      </c>
      <c r="J30" s="375"/>
      <c r="K30" s="378"/>
      <c r="L30" s="376"/>
      <c r="M30" s="226"/>
      <c r="N30" s="379"/>
      <c r="O30" s="226" t="e">
        <f t="shared" si="21"/>
        <v>#VALUE!</v>
      </c>
      <c r="P30" s="405"/>
      <c r="Q30" s="382"/>
      <c r="R30" s="151"/>
      <c r="S30" s="151"/>
      <c r="T30" s="167" t="str">
        <f t="shared" si="8"/>
        <v/>
      </c>
      <c r="U30" s="168" t="str">
        <f t="shared" si="9"/>
        <v/>
      </c>
      <c r="V30" s="169" t="str">
        <f t="shared" si="10"/>
        <v/>
      </c>
      <c r="W30" s="350" t="str">
        <f t="shared" si="11"/>
        <v/>
      </c>
      <c r="X30" s="351" t="str">
        <f t="shared" si="12"/>
        <v/>
      </c>
      <c r="Y30" s="434" t="str">
        <f t="shared" si="13"/>
        <v/>
      </c>
      <c r="Z30" s="432" t="str">
        <f t="shared" si="14"/>
        <v/>
      </c>
      <c r="AA30" s="159"/>
      <c r="AB30" s="171" t="str">
        <f t="shared" si="16"/>
        <v/>
      </c>
      <c r="AC30" s="166" t="str">
        <f t="shared" si="20"/>
        <v/>
      </c>
      <c r="AD30" s="166" t="str">
        <f t="shared" si="17"/>
        <v/>
      </c>
      <c r="AE30" s="437" t="str">
        <f t="shared" si="22"/>
        <v/>
      </c>
      <c r="AF30" s="441" t="str">
        <f t="shared" si="19"/>
        <v/>
      </c>
    </row>
    <row r="31" spans="1:32" ht="14.5" thickBot="1" x14ac:dyDescent="0.25">
      <c r="A31" s="71"/>
      <c r="B31" s="373"/>
      <c r="C31" s="187"/>
      <c r="D31" s="190" t="str">
        <f t="shared" si="0"/>
        <v/>
      </c>
      <c r="E31" s="386"/>
      <c r="F31" s="375"/>
      <c r="G31" s="376"/>
      <c r="H31" s="189" t="str">
        <f>IFERROR(IF(G31-$Q$2&lt;=0,"",(G31-$Q$2)*86400),"")</f>
        <v/>
      </c>
      <c r="I31" s="410" t="str">
        <f t="shared" si="15"/>
        <v/>
      </c>
      <c r="J31" s="386"/>
      <c r="K31" s="411" t="str">
        <f>IFERROR(H31*(1+0.01*J31)-I31*$N$3,"")</f>
        <v/>
      </c>
      <c r="L31" s="387" t="str">
        <f>IFERROR((K31-$K$7)/86400,"")</f>
        <v/>
      </c>
      <c r="M31" s="239" t="str">
        <f>IFERROR((K31-$K$7)/$N$3,"")</f>
        <v/>
      </c>
      <c r="N31" s="412" t="str">
        <f>IFERROR($N$3/(H31/3600),"")</f>
        <v/>
      </c>
      <c r="O31" s="393" t="e">
        <f t="shared" si="21"/>
        <v>#VALUE!</v>
      </c>
      <c r="P31" s="406"/>
      <c r="Q31" s="396"/>
      <c r="R31" s="151"/>
      <c r="S31" s="151"/>
      <c r="T31" s="172" t="str">
        <f t="shared" si="8"/>
        <v/>
      </c>
      <c r="U31" s="173" t="str">
        <f t="shared" si="9"/>
        <v/>
      </c>
      <c r="V31" s="174" t="str">
        <f t="shared" si="10"/>
        <v/>
      </c>
      <c r="W31" s="352" t="str">
        <f t="shared" si="11"/>
        <v/>
      </c>
      <c r="X31" s="423" t="str">
        <f t="shared" si="12"/>
        <v/>
      </c>
      <c r="Y31" s="423" t="str">
        <f t="shared" si="13"/>
        <v/>
      </c>
      <c r="Z31" s="433" t="str">
        <f t="shared" si="14"/>
        <v/>
      </c>
      <c r="AA31" s="159"/>
      <c r="AB31" s="442" t="str">
        <f t="shared" si="16"/>
        <v/>
      </c>
      <c r="AC31" s="443" t="str">
        <f t="shared" si="20"/>
        <v/>
      </c>
      <c r="AD31" s="443" t="str">
        <f t="shared" si="17"/>
        <v/>
      </c>
      <c r="AE31" s="438" t="str">
        <f t="shared" si="22"/>
        <v/>
      </c>
      <c r="AF31" s="444" t="str">
        <f t="shared" si="19"/>
        <v/>
      </c>
    </row>
    <row r="32" spans="1:32" ht="15" customHeight="1" x14ac:dyDescent="0.25">
      <c r="A32" s="71"/>
      <c r="B32" s="584" t="s">
        <v>193</v>
      </c>
      <c r="C32" s="585"/>
      <c r="D32" s="586"/>
      <c r="E32" s="148" t="s">
        <v>151</v>
      </c>
      <c r="F32" s="593" t="s">
        <v>214</v>
      </c>
      <c r="G32" s="594"/>
      <c r="H32" s="595" t="s">
        <v>244</v>
      </c>
      <c r="I32" s="596"/>
      <c r="J32" s="596"/>
      <c r="K32" s="596"/>
      <c r="L32" s="596"/>
      <c r="M32" s="596"/>
      <c r="N32" s="596"/>
      <c r="O32" s="596"/>
      <c r="P32" s="596"/>
      <c r="Q32" s="597"/>
      <c r="R32" s="297"/>
      <c r="S32" s="62"/>
      <c r="T32" s="154"/>
      <c r="U32" s="154"/>
      <c r="V32" s="154"/>
      <c r="Y32" s="154"/>
      <c r="Z32" s="154"/>
      <c r="AA32" s="154"/>
    </row>
    <row r="33" spans="1:32" ht="15" customHeight="1" x14ac:dyDescent="0.25">
      <c r="A33" s="71"/>
      <c r="B33" s="587"/>
      <c r="C33" s="588"/>
      <c r="D33" s="589"/>
      <c r="E33" s="149" t="s">
        <v>152</v>
      </c>
      <c r="F33" s="576"/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297"/>
      <c r="S33" s="62"/>
      <c r="T33" s="154"/>
      <c r="U33" s="154"/>
      <c r="V33" s="154"/>
      <c r="Y33" s="154"/>
      <c r="Z33" s="154"/>
      <c r="AA33" s="154"/>
      <c r="AB33" s="515" t="s">
        <v>294</v>
      </c>
      <c r="AC33" s="515"/>
      <c r="AD33" s="515"/>
      <c r="AE33" s="515"/>
      <c r="AF33" s="515"/>
    </row>
    <row r="34" spans="1:32" ht="23.25" customHeight="1" x14ac:dyDescent="0.25">
      <c r="A34" s="71"/>
      <c r="B34" s="590"/>
      <c r="C34" s="591"/>
      <c r="D34" s="592"/>
      <c r="E34" s="149" t="s">
        <v>153</v>
      </c>
      <c r="F34" s="576"/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297"/>
      <c r="S34" s="62"/>
      <c r="T34" s="154"/>
      <c r="U34" s="154"/>
      <c r="V34" s="154"/>
      <c r="Y34" s="154"/>
      <c r="Z34" s="154"/>
      <c r="AA34" s="154"/>
    </row>
    <row r="35" spans="1:32" ht="22.5" customHeight="1" x14ac:dyDescent="0.25">
      <c r="A35" s="71"/>
      <c r="B35" s="604" t="s">
        <v>191</v>
      </c>
      <c r="C35" s="605"/>
      <c r="D35" s="606"/>
      <c r="E35" s="578" t="s">
        <v>155</v>
      </c>
      <c r="F35" s="576" t="str">
        <f>参照ﾃﾞｰﾀ!AB10</f>
        <v>SHARK X</v>
      </c>
      <c r="G35" s="577"/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297"/>
      <c r="S35" s="62"/>
      <c r="T35" s="154"/>
      <c r="U35" s="154"/>
      <c r="V35" s="154"/>
      <c r="Y35" s="154"/>
      <c r="Z35" s="154"/>
      <c r="AA35" s="154"/>
    </row>
    <row r="36" spans="1:32" ht="15" customHeight="1" x14ac:dyDescent="0.25">
      <c r="A36" s="71"/>
      <c r="B36" s="607"/>
      <c r="C36" s="608"/>
      <c r="D36" s="609"/>
      <c r="E36" s="615"/>
      <c r="F36" s="576"/>
      <c r="G36" s="577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297"/>
      <c r="S36" s="62"/>
      <c r="T36" s="154"/>
      <c r="U36" s="154"/>
      <c r="V36" s="154"/>
      <c r="Y36" s="154"/>
      <c r="Z36" s="154"/>
      <c r="AA36" s="154"/>
    </row>
    <row r="37" spans="1:32" ht="15" customHeight="1" x14ac:dyDescent="0.25">
      <c r="A37" s="71"/>
      <c r="B37" s="607"/>
      <c r="C37" s="608"/>
      <c r="D37" s="609"/>
      <c r="E37" s="148" t="s">
        <v>154</v>
      </c>
      <c r="F37" s="574">
        <f>参照ﾃﾞｰﾀ!Z11</f>
        <v>46250</v>
      </c>
      <c r="G37" s="5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297"/>
      <c r="S37" s="62"/>
      <c r="T37" s="154"/>
      <c r="U37" s="154"/>
      <c r="V37" s="154"/>
      <c r="Y37" s="154"/>
      <c r="Z37" s="154"/>
      <c r="AA37" s="154"/>
    </row>
    <row r="38" spans="1:32" ht="15" customHeight="1" x14ac:dyDescent="0.25">
      <c r="A38" s="71"/>
      <c r="B38" s="607"/>
      <c r="C38" s="608"/>
      <c r="D38" s="609"/>
      <c r="E38" s="149" t="s">
        <v>167</v>
      </c>
      <c r="F38" s="576" t="str">
        <f>参照ﾃﾞｰﾀ!AA11</f>
        <v>H</v>
      </c>
      <c r="G38" s="5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297"/>
      <c r="S38" s="62"/>
      <c r="T38" s="154"/>
      <c r="U38" s="154"/>
      <c r="V38" s="154"/>
      <c r="Y38" s="154"/>
      <c r="Z38" s="154"/>
      <c r="AA38" s="154"/>
    </row>
    <row r="39" spans="1:32" ht="15" customHeight="1" x14ac:dyDescent="0.25">
      <c r="A39" s="71"/>
      <c r="B39" s="607"/>
      <c r="C39" s="608"/>
      <c r="D39" s="609"/>
      <c r="E39" s="578" t="s">
        <v>155</v>
      </c>
      <c r="F39" s="576" t="str">
        <f>参照ﾃﾞｰﾀ!AB11</f>
        <v>サーモン4</v>
      </c>
      <c r="G39" s="5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297"/>
      <c r="S39" s="62"/>
      <c r="T39" s="154"/>
      <c r="U39" s="154"/>
      <c r="V39" s="154"/>
      <c r="Y39" s="154"/>
      <c r="Z39" s="154"/>
      <c r="AA39" s="154"/>
    </row>
    <row r="40" spans="1:32" ht="15" customHeight="1" x14ac:dyDescent="0.25">
      <c r="A40" s="71"/>
      <c r="B40" s="607"/>
      <c r="C40" s="608"/>
      <c r="D40" s="609"/>
      <c r="E40" s="578"/>
      <c r="F40" s="576" t="s">
        <v>295</v>
      </c>
      <c r="G40" s="577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297"/>
      <c r="S40" s="62"/>
      <c r="T40" s="154"/>
      <c r="U40" s="154"/>
      <c r="V40" s="154"/>
      <c r="Y40" s="154"/>
      <c r="Z40" s="154"/>
      <c r="AA40" s="154"/>
    </row>
    <row r="41" spans="1:32" ht="11.25" customHeight="1" thickBot="1" x14ac:dyDescent="0.3">
      <c r="A41" s="71"/>
      <c r="B41" s="610"/>
      <c r="C41" s="611"/>
      <c r="D41" s="612"/>
      <c r="E41" s="150"/>
      <c r="F41" s="613"/>
      <c r="G41" s="614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297"/>
      <c r="S41" s="62"/>
      <c r="T41" s="154"/>
      <c r="U41" s="154"/>
      <c r="V41" s="154"/>
      <c r="W41" s="154"/>
      <c r="X41" s="154"/>
      <c r="Y41" s="154"/>
      <c r="Z41" s="154"/>
      <c r="AA41" s="154"/>
    </row>
    <row r="42" spans="1:32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</sheetData>
  <sheetProtection algorithmName="SHA-512" hashValue="0kx6IpTKI7yoVA27W4Sd+qMPu9pVlAawLQgMYjgFVK1JZMuA/og3lGDarMYL47XZS2SkbsEcSDK6x93vy4WBlw==" saltValue="C8cuewnbW9O22BzrvJdvhg==" spinCount="100000" sheet="1" objects="1" scenarios="1"/>
  <sortState xmlns:xlrd2="http://schemas.microsoft.com/office/spreadsheetml/2017/richdata2" ref="C7:K23">
    <sortCondition ref="K7:K23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0:G40"/>
    <mergeCell ref="F41:G41"/>
    <mergeCell ref="E35:E36"/>
    <mergeCell ref="F35:G35"/>
    <mergeCell ref="F36:G36"/>
    <mergeCell ref="F37:G37"/>
    <mergeCell ref="F38:G38"/>
    <mergeCell ref="F39:G39"/>
    <mergeCell ref="E39:E40"/>
    <mergeCell ref="D2:F2"/>
    <mergeCell ref="E3:I3"/>
  </mergeCells>
  <phoneticPr fontId="39"/>
  <dataValidations count="9">
    <dataValidation type="list" allowBlank="1" showInputMessage="1" showErrorMessage="1" sqref="P2 F37:G37" xr:uid="{00000000-0002-0000-0000-000000000000}">
      <formula1>開催日</formula1>
    </dataValidation>
    <dataValidation type="list" allowBlank="1" showInputMessage="1" showErrorMessage="1" sqref="Q2:R2" xr:uid="{00000000-0002-0000-0000-000001000000}">
      <formula1>時刻</formula1>
    </dataValidation>
    <dataValidation type="list" allowBlank="1" showInputMessage="1" showErrorMessage="1" sqref="J3:K3" xr:uid="{00000000-0002-0000-0000-000002000000}">
      <formula1>暫定</formula1>
    </dataValidation>
    <dataValidation type="list" allowBlank="1" showInputMessage="1" showErrorMessage="1" sqref="G2" xr:uid="{00000000-0002-0000-0000-000003000000}">
      <formula1>月</formula1>
    </dataValidation>
    <dataValidation type="list" allowBlank="1" showInputMessage="1" showErrorMessage="1" sqref="N2" xr:uid="{00000000-0002-0000-0000-000004000000}">
      <formula1>コース</formula1>
    </dataValidation>
    <dataValidation type="list" showInputMessage="1" showErrorMessage="1" sqref="E3" xr:uid="{00000000-0002-0000-0000-000005000000}">
      <formula1>レース名</formula1>
    </dataValidation>
    <dataValidation type="list" allowBlank="1" showInputMessage="1" showErrorMessage="1" sqref="I6" xr:uid="{00000000-0002-0000-0000-000006000000}">
      <formula1>ＴＡ</formula1>
    </dataValidation>
    <dataValidation type="list" allowBlank="1" showInputMessage="1" showErrorMessage="1" sqref="D3" xr:uid="{00000000-0002-0000-0000-000007000000}">
      <formula1>レース番号</formula1>
    </dataValidation>
    <dataValidation type="list" allowBlank="1" showInputMessage="1" showErrorMessage="1" sqref="O6" xr:uid="{66021416-EE82-4205-9489-D2AB84E4F924}">
      <formula1>$AB$6:$AF$6</formula1>
    </dataValidation>
  </dataValidations>
  <pageMargins left="0.31496062992125984" right="0" top="0.35433070866141736" bottom="0.19685039370078741" header="0" footer="0"/>
  <pageSetup paperSize="9" scale="99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1F80A8-88D4-43A6-82A8-7EBDF8F11793}">
          <x14:formula1>
            <xm:f>参照ﾃﾞｰﾀ!$B$4:$B$17</xm:f>
          </x14:formula1>
          <xm:sqref>F38:G38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K50"/>
  <sheetViews>
    <sheetView tabSelected="1" topLeftCell="A3" zoomScale="85" zoomScaleNormal="85" workbookViewId="0">
      <selection activeCell="AY34" sqref="AY34"/>
    </sheetView>
  </sheetViews>
  <sheetFormatPr defaultRowHeight="13" x14ac:dyDescent="0.2"/>
  <cols>
    <col min="1" max="1" width="1.90625" customWidth="1"/>
    <col min="2" max="2" width="4.26953125" customWidth="1"/>
    <col min="3" max="3" width="6.08984375" customWidth="1"/>
    <col min="4" max="4" width="11.90625" customWidth="1"/>
    <col min="5" max="5" width="8.7265625" customWidth="1"/>
    <col min="6" max="6" width="8.90625" customWidth="1"/>
    <col min="7" max="8" width="8.7265625" customWidth="1"/>
    <col min="9" max="9" width="3.7265625" style="18" bestFit="1" customWidth="1"/>
    <col min="10" max="10" width="3.7265625" customWidth="1"/>
    <col min="11" max="11" width="4.26953125" customWidth="1"/>
    <col min="12" max="12" width="6.08984375" customWidth="1"/>
    <col min="13" max="13" width="11.90625" customWidth="1"/>
    <col min="14" max="14" width="8.7265625" customWidth="1"/>
    <col min="15" max="15" width="8.90625" customWidth="1"/>
    <col min="16" max="17" width="8.7265625" customWidth="1"/>
    <col min="18" max="18" width="3.7265625" bestFit="1" customWidth="1"/>
    <col min="19" max="19" width="3.7265625" customWidth="1"/>
    <col min="20" max="20" width="4.26953125" customWidth="1"/>
    <col min="21" max="21" width="6.08984375" customWidth="1"/>
    <col min="22" max="22" width="11.90625" customWidth="1"/>
    <col min="23" max="23" width="8.7265625" customWidth="1"/>
    <col min="24" max="25" width="8.90625" customWidth="1"/>
    <col min="26" max="26" width="8.7265625" customWidth="1"/>
    <col min="27" max="27" width="3.7265625" bestFit="1" customWidth="1"/>
    <col min="28" max="28" width="3.7265625" customWidth="1"/>
    <col min="29" max="29" width="4.26953125" customWidth="1"/>
    <col min="30" max="30" width="6.08984375" customWidth="1"/>
    <col min="31" max="31" width="11.90625" customWidth="1"/>
    <col min="32" max="32" width="8.7265625" customWidth="1"/>
    <col min="33" max="33" width="8.90625" customWidth="1"/>
    <col min="34" max="35" width="8.7265625" customWidth="1"/>
    <col min="36" max="36" width="3.7265625" bestFit="1" customWidth="1"/>
    <col min="37" max="37" width="3.7265625" customWidth="1"/>
    <col min="38" max="38" width="4.26953125" customWidth="1"/>
    <col min="39" max="39" width="6.08984375" customWidth="1"/>
    <col min="40" max="40" width="11.90625" customWidth="1"/>
    <col min="41" max="41" width="8.7265625" customWidth="1"/>
    <col min="42" max="42" width="8.90625" customWidth="1"/>
    <col min="43" max="44" width="8.7265625" customWidth="1"/>
    <col min="45" max="45" width="3.7265625" bestFit="1" customWidth="1"/>
    <col min="46" max="46" width="3.7265625" customWidth="1"/>
    <col min="47" max="47" width="4.26953125" customWidth="1"/>
    <col min="48" max="48" width="6.08984375" customWidth="1"/>
    <col min="49" max="49" width="11.90625" customWidth="1"/>
    <col min="50" max="50" width="8.7265625" customWidth="1"/>
    <col min="51" max="51" width="8.90625" customWidth="1"/>
    <col min="52" max="53" width="8.7265625" customWidth="1"/>
    <col min="54" max="54" width="3.7265625" bestFit="1" customWidth="1"/>
    <col min="55" max="55" width="5.90625" customWidth="1"/>
    <col min="56" max="56" width="4.7265625" customWidth="1"/>
    <col min="57" max="57" width="6.08984375" customWidth="1"/>
    <col min="58" max="58" width="11.7265625" customWidth="1"/>
    <col min="63" max="63" width="3" customWidth="1"/>
  </cols>
  <sheetData>
    <row r="1" spans="2:63" ht="19" x14ac:dyDescent="0.3">
      <c r="C1" s="318" t="s">
        <v>238</v>
      </c>
      <c r="L1" s="318" t="s">
        <v>238</v>
      </c>
      <c r="U1" s="318" t="s">
        <v>238</v>
      </c>
      <c r="AD1" s="318" t="s">
        <v>238</v>
      </c>
      <c r="AM1" s="318" t="s">
        <v>238</v>
      </c>
      <c r="AV1" s="318" t="s">
        <v>238</v>
      </c>
      <c r="BE1" s="318" t="s">
        <v>238</v>
      </c>
    </row>
    <row r="2" spans="2:63" ht="8.25" customHeight="1" x14ac:dyDescent="0.2"/>
    <row r="3" spans="2:63" ht="18" customHeight="1" thickBot="1" x14ac:dyDescent="0.35">
      <c r="B3" s="666" t="str">
        <f>参照ﾃﾞｰﾀ!F4</f>
        <v>2026年</v>
      </c>
      <c r="C3" s="666"/>
      <c r="D3" s="349" t="str">
        <f>参照ﾃﾞｰﾀ!H10</f>
        <v>7月</v>
      </c>
      <c r="E3" s="349"/>
      <c r="F3" s="318"/>
      <c r="H3" s="319"/>
      <c r="I3" s="319" t="s">
        <v>317</v>
      </c>
      <c r="K3" s="666" t="str">
        <f>参照ﾃﾞｰﾀ!F4</f>
        <v>2026年</v>
      </c>
      <c r="L3" s="666"/>
      <c r="M3" s="349" t="str">
        <f>参照ﾃﾞｰﾀ!H11</f>
        <v>8月</v>
      </c>
      <c r="N3" s="349"/>
      <c r="O3" s="318"/>
      <c r="P3" s="319"/>
      <c r="Q3" s="319"/>
      <c r="R3" s="319" t="s">
        <v>317</v>
      </c>
      <c r="T3" s="666" t="str">
        <f>参照ﾃﾞｰﾀ!F4</f>
        <v>2026年</v>
      </c>
      <c r="U3" s="666"/>
      <c r="V3" s="349" t="str">
        <f>参照ﾃﾞｰﾀ!H12</f>
        <v>9月</v>
      </c>
      <c r="W3" s="349"/>
      <c r="X3" s="318"/>
      <c r="Y3" s="318"/>
      <c r="Z3" s="319"/>
      <c r="AA3" s="319" t="s">
        <v>317</v>
      </c>
      <c r="AC3" s="666" t="str">
        <f>参照ﾃﾞｰﾀ!F4</f>
        <v>2026年</v>
      </c>
      <c r="AD3" s="666"/>
      <c r="AE3" s="349" t="str">
        <f>参照ﾃﾞｰﾀ!H14</f>
        <v>10月</v>
      </c>
      <c r="AF3" s="349"/>
      <c r="AG3" s="318"/>
      <c r="AH3" s="319"/>
      <c r="AI3" s="319"/>
      <c r="AJ3" s="319" t="s">
        <v>317</v>
      </c>
      <c r="AL3" s="666" t="str">
        <f>参照ﾃﾞｰﾀ!F4</f>
        <v>2026年</v>
      </c>
      <c r="AM3" s="666"/>
      <c r="AN3" s="349" t="str">
        <f>参照ﾃﾞｰﾀ!H15</f>
        <v>11月</v>
      </c>
      <c r="AO3" s="349"/>
      <c r="AP3" s="318"/>
      <c r="AQ3" s="319"/>
      <c r="AR3" s="319"/>
      <c r="AS3" s="319" t="s">
        <v>317</v>
      </c>
      <c r="AU3" s="666" t="str">
        <f>参照ﾃﾞｰﾀ!F4</f>
        <v>2026年</v>
      </c>
      <c r="AV3" s="666"/>
      <c r="AW3" s="349" t="str">
        <f>参照ﾃﾞｰﾀ!H16</f>
        <v>12月</v>
      </c>
      <c r="AX3" s="349"/>
      <c r="AY3" s="318"/>
      <c r="AZ3" s="319"/>
      <c r="BA3" s="319"/>
      <c r="BB3" s="319" t="s">
        <v>317</v>
      </c>
      <c r="BD3" s="666" t="str">
        <f>参照ﾃﾞｰﾀ!F4</f>
        <v>2026年</v>
      </c>
      <c r="BE3" s="666"/>
      <c r="BF3" s="349" t="str">
        <f>参照ﾃﾞｰﾀ!H13</f>
        <v>10月</v>
      </c>
      <c r="BG3" s="349" t="s">
        <v>241</v>
      </c>
      <c r="BH3" s="318"/>
      <c r="BK3" s="319" t="s">
        <v>317</v>
      </c>
    </row>
    <row r="4" spans="2:63" ht="48.5" customHeight="1" x14ac:dyDescent="0.2">
      <c r="B4" s="340"/>
      <c r="C4" s="341"/>
      <c r="D4" s="342"/>
      <c r="E4" s="337" t="s">
        <v>254</v>
      </c>
      <c r="F4" s="338" t="s">
        <v>255</v>
      </c>
      <c r="G4" s="468" t="s">
        <v>256</v>
      </c>
      <c r="H4" s="469" t="s">
        <v>257</v>
      </c>
      <c r="I4" s="667" t="s">
        <v>240</v>
      </c>
      <c r="K4" s="340"/>
      <c r="L4" s="341"/>
      <c r="M4" s="342"/>
      <c r="N4" s="337" t="s">
        <v>254</v>
      </c>
      <c r="O4" s="338" t="s">
        <v>255</v>
      </c>
      <c r="P4" s="468" t="s">
        <v>256</v>
      </c>
      <c r="Q4" s="469" t="s">
        <v>257</v>
      </c>
      <c r="R4" s="667" t="s">
        <v>240</v>
      </c>
      <c r="T4" s="340"/>
      <c r="U4" s="341"/>
      <c r="V4" s="342"/>
      <c r="W4" s="337" t="s">
        <v>254</v>
      </c>
      <c r="X4" s="338" t="s">
        <v>255</v>
      </c>
      <c r="Y4" s="468" t="s">
        <v>256</v>
      </c>
      <c r="Z4" s="469" t="s">
        <v>257</v>
      </c>
      <c r="AA4" s="667" t="s">
        <v>240</v>
      </c>
      <c r="AC4" s="340"/>
      <c r="AD4" s="341"/>
      <c r="AE4" s="342"/>
      <c r="AF4" s="337" t="s">
        <v>254</v>
      </c>
      <c r="AG4" s="338" t="s">
        <v>255</v>
      </c>
      <c r="AH4" s="468" t="s">
        <v>256</v>
      </c>
      <c r="AI4" s="469" t="s">
        <v>257</v>
      </c>
      <c r="AJ4" s="667" t="s">
        <v>240</v>
      </c>
      <c r="AL4" s="340"/>
      <c r="AM4" s="341"/>
      <c r="AN4" s="342"/>
      <c r="AO4" s="337" t="s">
        <v>254</v>
      </c>
      <c r="AP4" s="338" t="s">
        <v>255</v>
      </c>
      <c r="AQ4" s="468" t="s">
        <v>256</v>
      </c>
      <c r="AR4" s="469" t="s">
        <v>257</v>
      </c>
      <c r="AS4" s="667" t="s">
        <v>240</v>
      </c>
      <c r="AU4" s="340"/>
      <c r="AV4" s="341"/>
      <c r="AW4" s="342"/>
      <c r="AX4" s="337" t="s">
        <v>254</v>
      </c>
      <c r="AY4" s="338" t="s">
        <v>255</v>
      </c>
      <c r="AZ4" s="468" t="s">
        <v>256</v>
      </c>
      <c r="BA4" s="469" t="s">
        <v>257</v>
      </c>
      <c r="BB4" s="667" t="s">
        <v>240</v>
      </c>
      <c r="BD4" s="340"/>
      <c r="BE4" s="341"/>
      <c r="BF4" s="342"/>
      <c r="BG4" s="337" t="s">
        <v>254</v>
      </c>
      <c r="BH4" s="338" t="s">
        <v>255</v>
      </c>
      <c r="BI4" s="468" t="s">
        <v>256</v>
      </c>
      <c r="BJ4" s="469" t="s">
        <v>257</v>
      </c>
      <c r="BK4" s="667" t="s">
        <v>240</v>
      </c>
    </row>
    <row r="5" spans="2:63" ht="16" thickBot="1" x14ac:dyDescent="0.3">
      <c r="B5" s="669" t="s">
        <v>239</v>
      </c>
      <c r="C5" s="670"/>
      <c r="D5" s="346" t="s">
        <v>178</v>
      </c>
      <c r="E5" s="347" t="s">
        <v>181</v>
      </c>
      <c r="F5" s="348" t="s">
        <v>181</v>
      </c>
      <c r="G5" s="348" t="s">
        <v>181</v>
      </c>
      <c r="H5" s="470" t="s">
        <v>181</v>
      </c>
      <c r="I5" s="668"/>
      <c r="K5" s="669" t="s">
        <v>239</v>
      </c>
      <c r="L5" s="670"/>
      <c r="M5" s="346" t="s">
        <v>178</v>
      </c>
      <c r="N5" s="347" t="s">
        <v>181</v>
      </c>
      <c r="O5" s="348" t="s">
        <v>181</v>
      </c>
      <c r="P5" s="348" t="s">
        <v>181</v>
      </c>
      <c r="Q5" s="470" t="s">
        <v>181</v>
      </c>
      <c r="R5" s="668"/>
      <c r="T5" s="669" t="s">
        <v>239</v>
      </c>
      <c r="U5" s="670"/>
      <c r="V5" s="346" t="s">
        <v>178</v>
      </c>
      <c r="W5" s="347" t="s">
        <v>181</v>
      </c>
      <c r="X5" s="348" t="s">
        <v>181</v>
      </c>
      <c r="Y5" s="348" t="s">
        <v>181</v>
      </c>
      <c r="Z5" s="470" t="s">
        <v>181</v>
      </c>
      <c r="AA5" s="668"/>
      <c r="AC5" s="669" t="s">
        <v>239</v>
      </c>
      <c r="AD5" s="670"/>
      <c r="AE5" s="346" t="s">
        <v>178</v>
      </c>
      <c r="AF5" s="347" t="s">
        <v>181</v>
      </c>
      <c r="AG5" s="348" t="s">
        <v>181</v>
      </c>
      <c r="AH5" s="348" t="s">
        <v>181</v>
      </c>
      <c r="AI5" s="470" t="s">
        <v>181</v>
      </c>
      <c r="AJ5" s="668"/>
      <c r="AL5" s="669" t="s">
        <v>239</v>
      </c>
      <c r="AM5" s="670"/>
      <c r="AN5" s="346" t="s">
        <v>178</v>
      </c>
      <c r="AO5" s="347" t="s">
        <v>181</v>
      </c>
      <c r="AP5" s="348" t="s">
        <v>181</v>
      </c>
      <c r="AQ5" s="348" t="s">
        <v>181</v>
      </c>
      <c r="AR5" s="470" t="s">
        <v>181</v>
      </c>
      <c r="AS5" s="668"/>
      <c r="AU5" s="669" t="s">
        <v>239</v>
      </c>
      <c r="AV5" s="670"/>
      <c r="AW5" s="346" t="s">
        <v>178</v>
      </c>
      <c r="AX5" s="347" t="s">
        <v>181</v>
      </c>
      <c r="AY5" s="348" t="s">
        <v>181</v>
      </c>
      <c r="AZ5" s="348" t="s">
        <v>181</v>
      </c>
      <c r="BA5" s="470" t="s">
        <v>181</v>
      </c>
      <c r="BB5" s="668"/>
      <c r="BD5" s="669" t="s">
        <v>239</v>
      </c>
      <c r="BE5" s="670"/>
      <c r="BF5" s="346" t="s">
        <v>178</v>
      </c>
      <c r="BG5" s="347" t="s">
        <v>181</v>
      </c>
      <c r="BH5" s="348" t="s">
        <v>181</v>
      </c>
      <c r="BI5" s="348" t="s">
        <v>181</v>
      </c>
      <c r="BJ5" s="470" t="s">
        <v>181</v>
      </c>
      <c r="BK5" s="668"/>
    </row>
    <row r="6" spans="2:63" ht="13.5" thickTop="1" x14ac:dyDescent="0.2">
      <c r="B6" s="344">
        <v>1</v>
      </c>
      <c r="C6" s="334">
        <v>6451</v>
      </c>
      <c r="D6" s="335" t="s">
        <v>258</v>
      </c>
      <c r="E6" s="332">
        <v>755.33500000000004</v>
      </c>
      <c r="F6" s="333">
        <v>544.20119999999997</v>
      </c>
      <c r="G6" s="345">
        <v>464.92635000000001</v>
      </c>
      <c r="H6" s="345">
        <v>429.51150000000001</v>
      </c>
      <c r="I6" s="464" t="s">
        <v>259</v>
      </c>
      <c r="K6" s="344">
        <v>1</v>
      </c>
      <c r="L6" s="334">
        <v>6451</v>
      </c>
      <c r="M6" s="335" t="s">
        <v>258</v>
      </c>
      <c r="N6" s="332">
        <v>755.33500000000004</v>
      </c>
      <c r="O6" s="333">
        <v>544.20119999999997</v>
      </c>
      <c r="P6" s="345">
        <v>464.92635000000001</v>
      </c>
      <c r="Q6" s="345">
        <v>429.51150000000001</v>
      </c>
      <c r="R6" s="464" t="s">
        <v>259</v>
      </c>
      <c r="T6" s="344">
        <v>1</v>
      </c>
      <c r="U6" s="334">
        <v>6451</v>
      </c>
      <c r="V6" s="335" t="s">
        <v>258</v>
      </c>
      <c r="W6" s="332">
        <v>755.33500000000004</v>
      </c>
      <c r="X6" s="333">
        <v>544.20119999999997</v>
      </c>
      <c r="Y6" s="345">
        <v>464.92635000000001</v>
      </c>
      <c r="Z6" s="345">
        <v>429.51150000000001</v>
      </c>
      <c r="AA6" s="464" t="s">
        <v>259</v>
      </c>
      <c r="AC6" s="344">
        <v>1</v>
      </c>
      <c r="AD6" s="334">
        <v>6451</v>
      </c>
      <c r="AE6" s="335" t="s">
        <v>258</v>
      </c>
      <c r="AF6" s="332">
        <v>755.33500000000004</v>
      </c>
      <c r="AG6" s="333">
        <v>544.20119999999997</v>
      </c>
      <c r="AH6" s="345">
        <v>464.92635000000001</v>
      </c>
      <c r="AI6" s="345">
        <v>429.51150000000001</v>
      </c>
      <c r="AJ6" s="464" t="s">
        <v>259</v>
      </c>
      <c r="AL6" s="344">
        <v>1</v>
      </c>
      <c r="AM6" s="334">
        <v>6451</v>
      </c>
      <c r="AN6" s="335" t="s">
        <v>258</v>
      </c>
      <c r="AO6" s="332">
        <v>755.33500000000004</v>
      </c>
      <c r="AP6" s="333">
        <v>544.20119999999997</v>
      </c>
      <c r="AQ6" s="345">
        <v>464.92635000000001</v>
      </c>
      <c r="AR6" s="345">
        <v>429.51150000000001</v>
      </c>
      <c r="AS6" s="464" t="s">
        <v>259</v>
      </c>
      <c r="AU6" s="344">
        <v>1</v>
      </c>
      <c r="AV6" s="334">
        <v>6451</v>
      </c>
      <c r="AW6" s="335" t="s">
        <v>258</v>
      </c>
      <c r="AX6" s="332">
        <v>755.33500000000004</v>
      </c>
      <c r="AY6" s="333">
        <v>544.20119999999997</v>
      </c>
      <c r="AZ6" s="345">
        <v>464.92635000000001</v>
      </c>
      <c r="BA6" s="345">
        <v>429.51150000000001</v>
      </c>
      <c r="BB6" s="464" t="s">
        <v>259</v>
      </c>
      <c r="BD6" s="344">
        <v>1</v>
      </c>
      <c r="BE6" s="334">
        <v>6451</v>
      </c>
      <c r="BF6" s="335" t="s">
        <v>258</v>
      </c>
      <c r="BG6" s="332">
        <v>755.33500000000004</v>
      </c>
      <c r="BH6" s="333">
        <v>544.20119999999997</v>
      </c>
      <c r="BI6" s="345">
        <v>464.92635000000001</v>
      </c>
      <c r="BJ6" s="345">
        <v>429.51150000000001</v>
      </c>
      <c r="BK6" s="464" t="s">
        <v>259</v>
      </c>
    </row>
    <row r="7" spans="2:63" x14ac:dyDescent="0.2">
      <c r="B7" s="448">
        <v>2</v>
      </c>
      <c r="C7" s="449">
        <v>6471</v>
      </c>
      <c r="D7" s="450" t="s">
        <v>260</v>
      </c>
      <c r="E7" s="451">
        <v>773.66099999999994</v>
      </c>
      <c r="F7" s="452">
        <v>580.60919999999999</v>
      </c>
      <c r="G7" s="453">
        <v>489.79874999999998</v>
      </c>
      <c r="H7" s="345">
        <v>449.21249999999998</v>
      </c>
      <c r="I7" s="465" t="s">
        <v>259</v>
      </c>
      <c r="K7" s="448">
        <v>2</v>
      </c>
      <c r="L7" s="449">
        <v>6471</v>
      </c>
      <c r="M7" s="450" t="s">
        <v>260</v>
      </c>
      <c r="N7" s="451">
        <v>773.66099999999994</v>
      </c>
      <c r="O7" s="452">
        <v>580.60919999999999</v>
      </c>
      <c r="P7" s="453">
        <v>489.79874999999998</v>
      </c>
      <c r="Q7" s="345">
        <v>449.21249999999998</v>
      </c>
      <c r="R7" s="465" t="s">
        <v>259</v>
      </c>
      <c r="T7" s="448">
        <v>2</v>
      </c>
      <c r="U7" s="449">
        <v>6471</v>
      </c>
      <c r="V7" s="450" t="s">
        <v>260</v>
      </c>
      <c r="W7" s="451">
        <v>773.66099999999994</v>
      </c>
      <c r="X7" s="452">
        <v>580.60919999999999</v>
      </c>
      <c r="Y7" s="453">
        <v>489.79874999999998</v>
      </c>
      <c r="Z7" s="345">
        <v>449.21249999999998</v>
      </c>
      <c r="AA7" s="465" t="s">
        <v>259</v>
      </c>
      <c r="AC7" s="448">
        <v>2</v>
      </c>
      <c r="AD7" s="449">
        <v>6471</v>
      </c>
      <c r="AE7" s="450" t="s">
        <v>260</v>
      </c>
      <c r="AF7" s="451">
        <v>773.66099999999994</v>
      </c>
      <c r="AG7" s="452">
        <v>580.60919999999999</v>
      </c>
      <c r="AH7" s="453">
        <v>489.79874999999998</v>
      </c>
      <c r="AI7" s="345">
        <v>449.21249999999998</v>
      </c>
      <c r="AJ7" s="465" t="s">
        <v>259</v>
      </c>
      <c r="AL7" s="448">
        <v>2</v>
      </c>
      <c r="AM7" s="449">
        <v>6471</v>
      </c>
      <c r="AN7" s="450" t="s">
        <v>260</v>
      </c>
      <c r="AO7" s="451">
        <v>773.66099999999994</v>
      </c>
      <c r="AP7" s="452">
        <v>580.60919999999999</v>
      </c>
      <c r="AQ7" s="453">
        <v>489.79874999999998</v>
      </c>
      <c r="AR7" s="345">
        <v>449.21249999999998</v>
      </c>
      <c r="AS7" s="465" t="s">
        <v>259</v>
      </c>
      <c r="AU7" s="448">
        <v>2</v>
      </c>
      <c r="AV7" s="449">
        <v>6471</v>
      </c>
      <c r="AW7" s="450" t="s">
        <v>260</v>
      </c>
      <c r="AX7" s="451">
        <v>773.66099999999994</v>
      </c>
      <c r="AY7" s="452">
        <v>580.60919999999999</v>
      </c>
      <c r="AZ7" s="453">
        <v>489.79874999999998</v>
      </c>
      <c r="BA7" s="345">
        <v>449.21249999999998</v>
      </c>
      <c r="BB7" s="465" t="s">
        <v>259</v>
      </c>
      <c r="BD7" s="448">
        <v>2</v>
      </c>
      <c r="BE7" s="449">
        <v>6471</v>
      </c>
      <c r="BF7" s="450" t="s">
        <v>260</v>
      </c>
      <c r="BG7" s="451">
        <v>773.66099999999994</v>
      </c>
      <c r="BH7" s="452">
        <v>580.60919999999999</v>
      </c>
      <c r="BI7" s="453">
        <v>489.79874999999998</v>
      </c>
      <c r="BJ7" s="345">
        <v>449.21249999999998</v>
      </c>
      <c r="BK7" s="465" t="s">
        <v>259</v>
      </c>
    </row>
    <row r="8" spans="2:63" x14ac:dyDescent="0.2">
      <c r="B8" s="344">
        <v>3</v>
      </c>
      <c r="C8" s="331">
        <v>6793</v>
      </c>
      <c r="D8" s="454" t="s">
        <v>261</v>
      </c>
      <c r="E8" s="332">
        <v>801.3</v>
      </c>
      <c r="F8" s="333">
        <v>578.79999999999995</v>
      </c>
      <c r="G8" s="343">
        <v>502.55</v>
      </c>
      <c r="H8" s="345">
        <v>479.15</v>
      </c>
      <c r="I8" s="465"/>
      <c r="K8" s="344">
        <v>3</v>
      </c>
      <c r="L8" s="331">
        <v>6793</v>
      </c>
      <c r="M8" s="454" t="s">
        <v>261</v>
      </c>
      <c r="N8" s="332">
        <v>801.3</v>
      </c>
      <c r="O8" s="333">
        <v>578.79999999999995</v>
      </c>
      <c r="P8" s="343">
        <v>502.55</v>
      </c>
      <c r="Q8" s="345">
        <v>479.15</v>
      </c>
      <c r="R8" s="465"/>
      <c r="T8" s="344">
        <v>3</v>
      </c>
      <c r="U8" s="331">
        <v>6793</v>
      </c>
      <c r="V8" s="454" t="s">
        <v>261</v>
      </c>
      <c r="W8" s="332">
        <v>801.3</v>
      </c>
      <c r="X8" s="333">
        <v>578.79999999999995</v>
      </c>
      <c r="Y8" s="343">
        <v>502.55</v>
      </c>
      <c r="Z8" s="345">
        <v>479.15</v>
      </c>
      <c r="AA8" s="465"/>
      <c r="AC8" s="344">
        <v>3</v>
      </c>
      <c r="AD8" s="331">
        <v>6793</v>
      </c>
      <c r="AE8" s="454" t="s">
        <v>261</v>
      </c>
      <c r="AF8" s="332">
        <v>801.3</v>
      </c>
      <c r="AG8" s="333">
        <v>578.79999999999995</v>
      </c>
      <c r="AH8" s="343">
        <v>502.55</v>
      </c>
      <c r="AI8" s="345">
        <v>479.15</v>
      </c>
      <c r="AJ8" s="465"/>
      <c r="AL8" s="344">
        <v>3</v>
      </c>
      <c r="AM8" s="331">
        <v>6793</v>
      </c>
      <c r="AN8" s="454" t="s">
        <v>261</v>
      </c>
      <c r="AO8" s="332">
        <v>801.3</v>
      </c>
      <c r="AP8" s="333">
        <v>578.79999999999995</v>
      </c>
      <c r="AQ8" s="343">
        <v>502.55</v>
      </c>
      <c r="AR8" s="345">
        <v>479.15</v>
      </c>
      <c r="AS8" s="465"/>
      <c r="AU8" s="344">
        <v>3</v>
      </c>
      <c r="AV8" s="331">
        <v>6793</v>
      </c>
      <c r="AW8" s="454" t="s">
        <v>261</v>
      </c>
      <c r="AX8" s="332">
        <v>801.3</v>
      </c>
      <c r="AY8" s="333">
        <v>578.79999999999995</v>
      </c>
      <c r="AZ8" s="343">
        <v>502.55</v>
      </c>
      <c r="BA8" s="345">
        <v>479.15</v>
      </c>
      <c r="BB8" s="465"/>
      <c r="BD8" s="344">
        <v>3</v>
      </c>
      <c r="BE8" s="331">
        <v>6793</v>
      </c>
      <c r="BF8" s="454" t="s">
        <v>261</v>
      </c>
      <c r="BG8" s="332">
        <v>801.3</v>
      </c>
      <c r="BH8" s="333">
        <v>578.79999999999995</v>
      </c>
      <c r="BI8" s="343">
        <v>502.55</v>
      </c>
      <c r="BJ8" s="345">
        <v>479.15</v>
      </c>
      <c r="BK8" s="465"/>
    </row>
    <row r="9" spans="2:63" x14ac:dyDescent="0.2">
      <c r="B9" s="448">
        <v>4</v>
      </c>
      <c r="C9" s="455">
        <v>6269</v>
      </c>
      <c r="D9" s="450" t="s">
        <v>211</v>
      </c>
      <c r="E9" s="451">
        <v>799.09199999999998</v>
      </c>
      <c r="F9" s="452">
        <v>586.75919999999996</v>
      </c>
      <c r="G9" s="453">
        <v>510.92054999999999</v>
      </c>
      <c r="H9" s="345">
        <v>485.14949999999999</v>
      </c>
      <c r="I9" s="465" t="s">
        <v>259</v>
      </c>
      <c r="K9" s="448">
        <v>4</v>
      </c>
      <c r="L9" s="455">
        <v>6269</v>
      </c>
      <c r="M9" s="450" t="s">
        <v>211</v>
      </c>
      <c r="N9" s="451">
        <v>799.09199999999998</v>
      </c>
      <c r="O9" s="452">
        <v>586.75919999999996</v>
      </c>
      <c r="P9" s="453">
        <v>510.92054999999999</v>
      </c>
      <c r="Q9" s="345">
        <v>485.14949999999999</v>
      </c>
      <c r="R9" s="465" t="s">
        <v>259</v>
      </c>
      <c r="T9" s="448">
        <v>4</v>
      </c>
      <c r="U9" s="455">
        <v>6269</v>
      </c>
      <c r="V9" s="450" t="s">
        <v>211</v>
      </c>
      <c r="W9" s="451">
        <v>799.09199999999998</v>
      </c>
      <c r="X9" s="452">
        <v>586.75919999999996</v>
      </c>
      <c r="Y9" s="453">
        <v>510.92054999999999</v>
      </c>
      <c r="Z9" s="345">
        <v>485.14949999999999</v>
      </c>
      <c r="AA9" s="465" t="s">
        <v>259</v>
      </c>
      <c r="AC9" s="448">
        <v>4</v>
      </c>
      <c r="AD9" s="455">
        <v>6269</v>
      </c>
      <c r="AE9" s="450" t="s">
        <v>211</v>
      </c>
      <c r="AF9" s="451">
        <v>799.09199999999998</v>
      </c>
      <c r="AG9" s="452">
        <v>586.75919999999996</v>
      </c>
      <c r="AH9" s="453">
        <v>510.92054999999999</v>
      </c>
      <c r="AI9" s="345">
        <v>485.14949999999999</v>
      </c>
      <c r="AJ9" s="465" t="s">
        <v>259</v>
      </c>
      <c r="AL9" s="448">
        <v>4</v>
      </c>
      <c r="AM9" s="455">
        <v>6269</v>
      </c>
      <c r="AN9" s="450" t="s">
        <v>211</v>
      </c>
      <c r="AO9" s="451">
        <v>799.09199999999998</v>
      </c>
      <c r="AP9" s="452">
        <v>586.75919999999996</v>
      </c>
      <c r="AQ9" s="453">
        <v>510.92054999999999</v>
      </c>
      <c r="AR9" s="345">
        <v>485.14949999999999</v>
      </c>
      <c r="AS9" s="465" t="s">
        <v>259</v>
      </c>
      <c r="AU9" s="448">
        <v>4</v>
      </c>
      <c r="AV9" s="455">
        <v>6269</v>
      </c>
      <c r="AW9" s="450" t="s">
        <v>211</v>
      </c>
      <c r="AX9" s="451">
        <v>799.09199999999998</v>
      </c>
      <c r="AY9" s="452">
        <v>586.75919999999996</v>
      </c>
      <c r="AZ9" s="453">
        <v>510.92054999999999</v>
      </c>
      <c r="BA9" s="345">
        <v>485.14949999999999</v>
      </c>
      <c r="BB9" s="465" t="s">
        <v>259</v>
      </c>
      <c r="BD9" s="448">
        <v>4</v>
      </c>
      <c r="BE9" s="455">
        <v>6269</v>
      </c>
      <c r="BF9" s="450" t="s">
        <v>211</v>
      </c>
      <c r="BG9" s="451">
        <v>799.09199999999998</v>
      </c>
      <c r="BH9" s="452">
        <v>586.75919999999996</v>
      </c>
      <c r="BI9" s="453">
        <v>510.92054999999999</v>
      </c>
      <c r="BJ9" s="345">
        <v>485.14949999999999</v>
      </c>
      <c r="BK9" s="465" t="s">
        <v>259</v>
      </c>
    </row>
    <row r="10" spans="2:63" x14ac:dyDescent="0.2">
      <c r="B10" s="344">
        <v>5</v>
      </c>
      <c r="C10" s="455">
        <v>3663</v>
      </c>
      <c r="D10" s="450" t="s">
        <v>179</v>
      </c>
      <c r="E10" s="451">
        <v>801.101</v>
      </c>
      <c r="F10" s="452">
        <v>587.69399999999996</v>
      </c>
      <c r="G10" s="453">
        <v>512.45039999999995</v>
      </c>
      <c r="H10" s="345">
        <v>486.93150000000003</v>
      </c>
      <c r="I10" s="465" t="s">
        <v>259</v>
      </c>
      <c r="K10" s="344">
        <v>5</v>
      </c>
      <c r="L10" s="455">
        <v>3663</v>
      </c>
      <c r="M10" s="450" t="s">
        <v>179</v>
      </c>
      <c r="N10" s="451">
        <v>801.101</v>
      </c>
      <c r="O10" s="452">
        <v>587.69399999999996</v>
      </c>
      <c r="P10" s="453">
        <v>512.45039999999995</v>
      </c>
      <c r="Q10" s="345">
        <v>486.93150000000003</v>
      </c>
      <c r="R10" s="465" t="s">
        <v>259</v>
      </c>
      <c r="T10" s="344">
        <v>5</v>
      </c>
      <c r="U10" s="455">
        <v>3663</v>
      </c>
      <c r="V10" s="450" t="s">
        <v>179</v>
      </c>
      <c r="W10" s="451">
        <v>801.101</v>
      </c>
      <c r="X10" s="452">
        <v>587.69399999999996</v>
      </c>
      <c r="Y10" s="453">
        <v>512.45039999999995</v>
      </c>
      <c r="Z10" s="345">
        <v>486.93150000000003</v>
      </c>
      <c r="AA10" s="465" t="s">
        <v>259</v>
      </c>
      <c r="AC10" s="344">
        <v>5</v>
      </c>
      <c r="AD10" s="455">
        <v>3663</v>
      </c>
      <c r="AE10" s="450" t="s">
        <v>179</v>
      </c>
      <c r="AF10" s="451">
        <v>801.101</v>
      </c>
      <c r="AG10" s="452">
        <v>587.69399999999996</v>
      </c>
      <c r="AH10" s="453">
        <v>512.45039999999995</v>
      </c>
      <c r="AI10" s="345">
        <v>486.93150000000003</v>
      </c>
      <c r="AJ10" s="465" t="s">
        <v>259</v>
      </c>
      <c r="AL10" s="344">
        <v>5</v>
      </c>
      <c r="AM10" s="455">
        <v>3663</v>
      </c>
      <c r="AN10" s="450" t="s">
        <v>179</v>
      </c>
      <c r="AO10" s="451">
        <v>801.101</v>
      </c>
      <c r="AP10" s="452">
        <v>587.69399999999996</v>
      </c>
      <c r="AQ10" s="453">
        <v>512.45039999999995</v>
      </c>
      <c r="AR10" s="345">
        <v>486.93150000000003</v>
      </c>
      <c r="AS10" s="465" t="s">
        <v>259</v>
      </c>
      <c r="AU10" s="344">
        <v>5</v>
      </c>
      <c r="AV10" s="455">
        <v>3663</v>
      </c>
      <c r="AW10" s="450" t="s">
        <v>179</v>
      </c>
      <c r="AX10" s="451">
        <v>801.101</v>
      </c>
      <c r="AY10" s="452">
        <v>587.69399999999996</v>
      </c>
      <c r="AZ10" s="453">
        <v>512.45039999999995</v>
      </c>
      <c r="BA10" s="345">
        <v>486.93150000000003</v>
      </c>
      <c r="BB10" s="465" t="s">
        <v>259</v>
      </c>
      <c r="BD10" s="344">
        <v>5</v>
      </c>
      <c r="BE10" s="455">
        <v>3663</v>
      </c>
      <c r="BF10" s="450" t="s">
        <v>179</v>
      </c>
      <c r="BG10" s="451">
        <v>801.101</v>
      </c>
      <c r="BH10" s="452">
        <v>587.69399999999996</v>
      </c>
      <c r="BI10" s="453">
        <v>512.45039999999995</v>
      </c>
      <c r="BJ10" s="345">
        <v>486.93150000000003</v>
      </c>
      <c r="BK10" s="465" t="s">
        <v>259</v>
      </c>
    </row>
    <row r="11" spans="2:63" x14ac:dyDescent="0.2">
      <c r="B11" s="448">
        <v>6</v>
      </c>
      <c r="C11" s="455">
        <v>4010</v>
      </c>
      <c r="D11" s="450" t="s">
        <v>125</v>
      </c>
      <c r="E11" s="451">
        <v>823.5</v>
      </c>
      <c r="F11" s="452">
        <v>600.6</v>
      </c>
      <c r="G11" s="453">
        <v>514.9</v>
      </c>
      <c r="H11" s="345">
        <v>492.45</v>
      </c>
      <c r="I11" s="466"/>
      <c r="K11" s="448">
        <v>6</v>
      </c>
      <c r="L11" s="455">
        <v>4010</v>
      </c>
      <c r="M11" s="450" t="s">
        <v>125</v>
      </c>
      <c r="N11" s="451">
        <v>823.5</v>
      </c>
      <c r="O11" s="452">
        <v>600.6</v>
      </c>
      <c r="P11" s="453">
        <v>514.9</v>
      </c>
      <c r="Q11" s="345">
        <v>492.45</v>
      </c>
      <c r="R11" s="466"/>
      <c r="T11" s="448">
        <v>6</v>
      </c>
      <c r="U11" s="455">
        <v>4010</v>
      </c>
      <c r="V11" s="450" t="s">
        <v>125</v>
      </c>
      <c r="W11" s="451">
        <v>823.5</v>
      </c>
      <c r="X11" s="452">
        <v>600.6</v>
      </c>
      <c r="Y11" s="453">
        <v>514.9</v>
      </c>
      <c r="Z11" s="345">
        <v>492.45</v>
      </c>
      <c r="AA11" s="466"/>
      <c r="AC11" s="448">
        <v>6</v>
      </c>
      <c r="AD11" s="455">
        <v>4010</v>
      </c>
      <c r="AE11" s="450" t="s">
        <v>125</v>
      </c>
      <c r="AF11" s="451">
        <v>823.5</v>
      </c>
      <c r="AG11" s="452">
        <v>600.6</v>
      </c>
      <c r="AH11" s="453">
        <v>514.9</v>
      </c>
      <c r="AI11" s="345">
        <v>492.45</v>
      </c>
      <c r="AJ11" s="466"/>
      <c r="AL11" s="448">
        <v>6</v>
      </c>
      <c r="AM11" s="455">
        <v>4010</v>
      </c>
      <c r="AN11" s="450" t="s">
        <v>125</v>
      </c>
      <c r="AO11" s="451">
        <v>823.5</v>
      </c>
      <c r="AP11" s="452">
        <v>600.6</v>
      </c>
      <c r="AQ11" s="453">
        <v>514.9</v>
      </c>
      <c r="AR11" s="345">
        <v>492.45</v>
      </c>
      <c r="AS11" s="466"/>
      <c r="AU11" s="448">
        <v>6</v>
      </c>
      <c r="AV11" s="455">
        <v>4010</v>
      </c>
      <c r="AW11" s="450" t="s">
        <v>125</v>
      </c>
      <c r="AX11" s="451">
        <v>823.5</v>
      </c>
      <c r="AY11" s="452">
        <v>600.6</v>
      </c>
      <c r="AZ11" s="453">
        <v>514.9</v>
      </c>
      <c r="BA11" s="345">
        <v>492.45</v>
      </c>
      <c r="BB11" s="466"/>
      <c r="BD11" s="448">
        <v>6</v>
      </c>
      <c r="BE11" s="455">
        <v>4010</v>
      </c>
      <c r="BF11" s="450" t="s">
        <v>125</v>
      </c>
      <c r="BG11" s="451">
        <v>823.5</v>
      </c>
      <c r="BH11" s="452">
        <v>600.6</v>
      </c>
      <c r="BI11" s="453">
        <v>514.9</v>
      </c>
      <c r="BJ11" s="345">
        <v>492.45</v>
      </c>
      <c r="BK11" s="466"/>
    </row>
    <row r="12" spans="2:63" x14ac:dyDescent="0.2">
      <c r="B12" s="344">
        <v>7</v>
      </c>
      <c r="C12" s="455">
        <v>380</v>
      </c>
      <c r="D12" s="450" t="s">
        <v>126</v>
      </c>
      <c r="E12" s="451">
        <v>822.2</v>
      </c>
      <c r="F12" s="452">
        <v>597.15</v>
      </c>
      <c r="G12" s="453">
        <v>520</v>
      </c>
      <c r="H12" s="345">
        <v>497.25</v>
      </c>
      <c r="I12" s="466"/>
      <c r="K12" s="344">
        <v>7</v>
      </c>
      <c r="L12" s="455">
        <v>380</v>
      </c>
      <c r="M12" s="450" t="s">
        <v>126</v>
      </c>
      <c r="N12" s="451">
        <v>822.2</v>
      </c>
      <c r="O12" s="452">
        <v>597.15</v>
      </c>
      <c r="P12" s="453">
        <v>520</v>
      </c>
      <c r="Q12" s="345">
        <v>497.25</v>
      </c>
      <c r="R12" s="466"/>
      <c r="T12" s="344">
        <v>7</v>
      </c>
      <c r="U12" s="455">
        <v>380</v>
      </c>
      <c r="V12" s="450" t="s">
        <v>126</v>
      </c>
      <c r="W12" s="451">
        <v>822.2</v>
      </c>
      <c r="X12" s="452">
        <v>597.15</v>
      </c>
      <c r="Y12" s="453">
        <v>520</v>
      </c>
      <c r="Z12" s="345">
        <v>497.25</v>
      </c>
      <c r="AA12" s="466"/>
      <c r="AC12" s="344">
        <v>7</v>
      </c>
      <c r="AD12" s="455">
        <v>380</v>
      </c>
      <c r="AE12" s="450" t="s">
        <v>126</v>
      </c>
      <c r="AF12" s="451">
        <v>822.2</v>
      </c>
      <c r="AG12" s="452">
        <v>597.15</v>
      </c>
      <c r="AH12" s="453">
        <v>520</v>
      </c>
      <c r="AI12" s="345">
        <v>497.25</v>
      </c>
      <c r="AJ12" s="466"/>
      <c r="AL12" s="344">
        <v>7</v>
      </c>
      <c r="AM12" s="455">
        <v>380</v>
      </c>
      <c r="AN12" s="450" t="s">
        <v>126</v>
      </c>
      <c r="AO12" s="451">
        <v>822.2</v>
      </c>
      <c r="AP12" s="452">
        <v>597.15</v>
      </c>
      <c r="AQ12" s="453">
        <v>520</v>
      </c>
      <c r="AR12" s="345">
        <v>497.25</v>
      </c>
      <c r="AS12" s="466"/>
      <c r="AU12" s="344">
        <v>7</v>
      </c>
      <c r="AV12" s="455">
        <v>380</v>
      </c>
      <c r="AW12" s="450" t="s">
        <v>126</v>
      </c>
      <c r="AX12" s="451">
        <v>822.2</v>
      </c>
      <c r="AY12" s="452">
        <v>597.15</v>
      </c>
      <c r="AZ12" s="453">
        <v>520</v>
      </c>
      <c r="BA12" s="345">
        <v>497.25</v>
      </c>
      <c r="BB12" s="466"/>
      <c r="BD12" s="344">
        <v>7</v>
      </c>
      <c r="BE12" s="455">
        <v>380</v>
      </c>
      <c r="BF12" s="450" t="s">
        <v>126</v>
      </c>
      <c r="BG12" s="451">
        <v>822.2</v>
      </c>
      <c r="BH12" s="452">
        <v>597.15</v>
      </c>
      <c r="BI12" s="453">
        <v>520</v>
      </c>
      <c r="BJ12" s="345">
        <v>497.25</v>
      </c>
      <c r="BK12" s="466"/>
    </row>
    <row r="13" spans="2:63" x14ac:dyDescent="0.2">
      <c r="B13" s="448">
        <v>8</v>
      </c>
      <c r="C13" s="455">
        <v>5797</v>
      </c>
      <c r="D13" s="450" t="s">
        <v>262</v>
      </c>
      <c r="E13" s="451">
        <v>817.85900000000004</v>
      </c>
      <c r="F13" s="452">
        <v>603.0444</v>
      </c>
      <c r="G13" s="453">
        <v>524.68920000000003</v>
      </c>
      <c r="H13" s="345">
        <v>498.86099999999999</v>
      </c>
      <c r="I13" s="465" t="s">
        <v>259</v>
      </c>
      <c r="K13" s="448">
        <v>8</v>
      </c>
      <c r="L13" s="455">
        <v>5797</v>
      </c>
      <c r="M13" s="450" t="s">
        <v>262</v>
      </c>
      <c r="N13" s="451">
        <v>817.85900000000004</v>
      </c>
      <c r="O13" s="452">
        <v>603.0444</v>
      </c>
      <c r="P13" s="453">
        <v>524.68920000000003</v>
      </c>
      <c r="Q13" s="345">
        <v>498.86099999999999</v>
      </c>
      <c r="R13" s="465" t="s">
        <v>259</v>
      </c>
      <c r="T13" s="448">
        <v>8</v>
      </c>
      <c r="U13" s="455">
        <v>5797</v>
      </c>
      <c r="V13" s="450" t="s">
        <v>262</v>
      </c>
      <c r="W13" s="451">
        <v>817.85900000000004</v>
      </c>
      <c r="X13" s="452">
        <v>603.0444</v>
      </c>
      <c r="Y13" s="453">
        <v>524.68920000000003</v>
      </c>
      <c r="Z13" s="345">
        <v>498.86099999999999</v>
      </c>
      <c r="AA13" s="465" t="s">
        <v>259</v>
      </c>
      <c r="AC13" s="448">
        <v>8</v>
      </c>
      <c r="AD13" s="455">
        <v>5797</v>
      </c>
      <c r="AE13" s="450" t="s">
        <v>262</v>
      </c>
      <c r="AF13" s="451">
        <v>817.85900000000004</v>
      </c>
      <c r="AG13" s="452">
        <v>603.0444</v>
      </c>
      <c r="AH13" s="453">
        <v>524.68920000000003</v>
      </c>
      <c r="AI13" s="345">
        <v>498.86099999999999</v>
      </c>
      <c r="AJ13" s="465" t="s">
        <v>259</v>
      </c>
      <c r="AL13" s="448">
        <v>8</v>
      </c>
      <c r="AM13" s="455">
        <v>5797</v>
      </c>
      <c r="AN13" s="450" t="s">
        <v>262</v>
      </c>
      <c r="AO13" s="451">
        <v>817.85900000000004</v>
      </c>
      <c r="AP13" s="452">
        <v>603.0444</v>
      </c>
      <c r="AQ13" s="453">
        <v>524.68920000000003</v>
      </c>
      <c r="AR13" s="345">
        <v>498.86099999999999</v>
      </c>
      <c r="AS13" s="465" t="s">
        <v>259</v>
      </c>
      <c r="AU13" s="448">
        <v>8</v>
      </c>
      <c r="AV13" s="455">
        <v>5797</v>
      </c>
      <c r="AW13" s="450" t="s">
        <v>262</v>
      </c>
      <c r="AX13" s="451">
        <v>817.85900000000004</v>
      </c>
      <c r="AY13" s="452">
        <v>603.0444</v>
      </c>
      <c r="AZ13" s="453">
        <v>524.68920000000003</v>
      </c>
      <c r="BA13" s="345">
        <v>498.86099999999999</v>
      </c>
      <c r="BB13" s="465" t="s">
        <v>259</v>
      </c>
      <c r="BD13" s="448">
        <v>8</v>
      </c>
      <c r="BE13" s="455">
        <v>5797</v>
      </c>
      <c r="BF13" s="450" t="s">
        <v>262</v>
      </c>
      <c r="BG13" s="451">
        <v>817.85900000000004</v>
      </c>
      <c r="BH13" s="452">
        <v>603.0444</v>
      </c>
      <c r="BI13" s="453">
        <v>524.68920000000003</v>
      </c>
      <c r="BJ13" s="345">
        <v>498.86099999999999</v>
      </c>
      <c r="BK13" s="465" t="s">
        <v>259</v>
      </c>
    </row>
    <row r="14" spans="2:63" x14ac:dyDescent="0.2">
      <c r="B14" s="344">
        <v>9</v>
      </c>
      <c r="C14" s="680">
        <v>1733</v>
      </c>
      <c r="D14" s="681" t="s">
        <v>122</v>
      </c>
      <c r="E14" s="456">
        <v>852.05</v>
      </c>
      <c r="F14" s="457">
        <v>616.6</v>
      </c>
      <c r="G14" s="458">
        <v>527.1</v>
      </c>
      <c r="H14" s="345">
        <v>501.85</v>
      </c>
      <c r="I14" s="465"/>
      <c r="K14" s="344">
        <v>9</v>
      </c>
      <c r="L14" s="680">
        <v>1733</v>
      </c>
      <c r="M14" s="681" t="s">
        <v>122</v>
      </c>
      <c r="N14" s="456">
        <v>852.05</v>
      </c>
      <c r="O14" s="457">
        <v>616.6</v>
      </c>
      <c r="P14" s="458">
        <v>527.1</v>
      </c>
      <c r="Q14" s="345">
        <v>501.85</v>
      </c>
      <c r="R14" s="465"/>
      <c r="T14" s="344">
        <v>9</v>
      </c>
      <c r="U14" s="680">
        <v>1733</v>
      </c>
      <c r="V14" s="681" t="s">
        <v>122</v>
      </c>
      <c r="W14" s="456">
        <v>852.05</v>
      </c>
      <c r="X14" s="457">
        <v>616.6</v>
      </c>
      <c r="Y14" s="458">
        <v>527.1</v>
      </c>
      <c r="Z14" s="345">
        <v>501.85</v>
      </c>
      <c r="AA14" s="465"/>
      <c r="AC14" s="344">
        <v>9</v>
      </c>
      <c r="AD14" s="680">
        <v>1733</v>
      </c>
      <c r="AE14" s="681" t="s">
        <v>122</v>
      </c>
      <c r="AF14" s="456">
        <v>852.05</v>
      </c>
      <c r="AG14" s="457">
        <v>616.6</v>
      </c>
      <c r="AH14" s="458">
        <v>527.1</v>
      </c>
      <c r="AI14" s="345">
        <v>501.85</v>
      </c>
      <c r="AJ14" s="465"/>
      <c r="AL14" s="344">
        <v>9</v>
      </c>
      <c r="AM14" s="680">
        <v>1733</v>
      </c>
      <c r="AN14" s="681" t="s">
        <v>122</v>
      </c>
      <c r="AO14" s="456">
        <v>852.05</v>
      </c>
      <c r="AP14" s="457">
        <v>616.6</v>
      </c>
      <c r="AQ14" s="458">
        <v>527.1</v>
      </c>
      <c r="AR14" s="345">
        <v>501.85</v>
      </c>
      <c r="AS14" s="465"/>
      <c r="AU14" s="344">
        <v>9</v>
      </c>
      <c r="AV14" s="680">
        <v>1733</v>
      </c>
      <c r="AW14" s="681" t="s">
        <v>122</v>
      </c>
      <c r="AX14" s="456">
        <v>852.05</v>
      </c>
      <c r="AY14" s="457">
        <v>616.6</v>
      </c>
      <c r="AZ14" s="458">
        <v>527.1</v>
      </c>
      <c r="BA14" s="345">
        <v>501.85</v>
      </c>
      <c r="BB14" s="465"/>
      <c r="BD14" s="344">
        <v>9</v>
      </c>
      <c r="BE14" s="680">
        <v>1733</v>
      </c>
      <c r="BF14" s="681" t="s">
        <v>122</v>
      </c>
      <c r="BG14" s="456">
        <v>852.05</v>
      </c>
      <c r="BH14" s="457">
        <v>616.6</v>
      </c>
      <c r="BI14" s="458">
        <v>527.1</v>
      </c>
      <c r="BJ14" s="345">
        <v>501.85</v>
      </c>
      <c r="BK14" s="465"/>
    </row>
    <row r="15" spans="2:63" x14ac:dyDescent="0.2">
      <c r="B15" s="448">
        <v>10</v>
      </c>
      <c r="C15" s="455">
        <v>199</v>
      </c>
      <c r="D15" s="450" t="s">
        <v>24</v>
      </c>
      <c r="E15" s="451">
        <v>879.45</v>
      </c>
      <c r="F15" s="452">
        <v>626.1</v>
      </c>
      <c r="G15" s="453">
        <v>535.04999999999995</v>
      </c>
      <c r="H15" s="345">
        <v>507.5</v>
      </c>
      <c r="I15" s="465"/>
      <c r="K15" s="448">
        <v>10</v>
      </c>
      <c r="L15" s="455">
        <v>199</v>
      </c>
      <c r="M15" s="450" t="s">
        <v>24</v>
      </c>
      <c r="N15" s="451">
        <v>879.45</v>
      </c>
      <c r="O15" s="452">
        <v>626.1</v>
      </c>
      <c r="P15" s="453">
        <v>535.04999999999995</v>
      </c>
      <c r="Q15" s="345">
        <v>507.5</v>
      </c>
      <c r="R15" s="465"/>
      <c r="T15" s="448">
        <v>10</v>
      </c>
      <c r="U15" s="455">
        <v>199</v>
      </c>
      <c r="V15" s="450" t="s">
        <v>24</v>
      </c>
      <c r="W15" s="451">
        <v>879.45</v>
      </c>
      <c r="X15" s="452">
        <v>626.1</v>
      </c>
      <c r="Y15" s="453">
        <v>535.04999999999995</v>
      </c>
      <c r="Z15" s="345">
        <v>507.5</v>
      </c>
      <c r="AA15" s="465"/>
      <c r="AC15" s="448">
        <v>10</v>
      </c>
      <c r="AD15" s="455">
        <v>199</v>
      </c>
      <c r="AE15" s="450" t="s">
        <v>24</v>
      </c>
      <c r="AF15" s="451">
        <v>879.45</v>
      </c>
      <c r="AG15" s="452">
        <v>626.1</v>
      </c>
      <c r="AH15" s="453">
        <v>535.04999999999995</v>
      </c>
      <c r="AI15" s="345">
        <v>507.5</v>
      </c>
      <c r="AJ15" s="465"/>
      <c r="AL15" s="448">
        <v>10</v>
      </c>
      <c r="AM15" s="455">
        <v>199</v>
      </c>
      <c r="AN15" s="450" t="s">
        <v>24</v>
      </c>
      <c r="AO15" s="451">
        <v>879.45</v>
      </c>
      <c r="AP15" s="452">
        <v>626.1</v>
      </c>
      <c r="AQ15" s="453">
        <v>535.04999999999995</v>
      </c>
      <c r="AR15" s="345">
        <v>507.5</v>
      </c>
      <c r="AS15" s="465"/>
      <c r="AU15" s="448">
        <v>10</v>
      </c>
      <c r="AV15" s="455">
        <v>199</v>
      </c>
      <c r="AW15" s="450" t="s">
        <v>24</v>
      </c>
      <c r="AX15" s="451">
        <v>879.45</v>
      </c>
      <c r="AY15" s="452">
        <v>626.1</v>
      </c>
      <c r="AZ15" s="453">
        <v>535.04999999999995</v>
      </c>
      <c r="BA15" s="345">
        <v>507.5</v>
      </c>
      <c r="BB15" s="465"/>
      <c r="BD15" s="448">
        <v>10</v>
      </c>
      <c r="BE15" s="455">
        <v>199</v>
      </c>
      <c r="BF15" s="450" t="s">
        <v>24</v>
      </c>
      <c r="BG15" s="451">
        <v>879.45</v>
      </c>
      <c r="BH15" s="452">
        <v>626.1</v>
      </c>
      <c r="BI15" s="453">
        <v>535.04999999999995</v>
      </c>
      <c r="BJ15" s="345">
        <v>507.5</v>
      </c>
      <c r="BK15" s="465"/>
    </row>
    <row r="16" spans="2:63" x14ac:dyDescent="0.2">
      <c r="B16" s="344">
        <v>11</v>
      </c>
      <c r="C16" s="455">
        <v>321</v>
      </c>
      <c r="D16" s="450" t="s">
        <v>26</v>
      </c>
      <c r="E16" s="451">
        <v>844.85</v>
      </c>
      <c r="F16" s="452">
        <v>618.1</v>
      </c>
      <c r="G16" s="453">
        <v>534.6</v>
      </c>
      <c r="H16" s="345">
        <v>507.65</v>
      </c>
      <c r="I16" s="465"/>
      <c r="K16" s="344">
        <v>11</v>
      </c>
      <c r="L16" s="455">
        <v>321</v>
      </c>
      <c r="M16" s="450" t="s">
        <v>26</v>
      </c>
      <c r="N16" s="451">
        <v>844.85</v>
      </c>
      <c r="O16" s="452">
        <v>618.1</v>
      </c>
      <c r="P16" s="453">
        <v>534.6</v>
      </c>
      <c r="Q16" s="345">
        <v>507.65</v>
      </c>
      <c r="R16" s="465"/>
      <c r="T16" s="344">
        <v>11</v>
      </c>
      <c r="U16" s="455">
        <v>321</v>
      </c>
      <c r="V16" s="450" t="s">
        <v>26</v>
      </c>
      <c r="W16" s="451">
        <v>844.85</v>
      </c>
      <c r="X16" s="452">
        <v>618.1</v>
      </c>
      <c r="Y16" s="453">
        <v>534.6</v>
      </c>
      <c r="Z16" s="345">
        <v>507.65</v>
      </c>
      <c r="AA16" s="465"/>
      <c r="AC16" s="344">
        <v>11</v>
      </c>
      <c r="AD16" s="455">
        <v>321</v>
      </c>
      <c r="AE16" s="450" t="s">
        <v>26</v>
      </c>
      <c r="AF16" s="451">
        <v>844.85</v>
      </c>
      <c r="AG16" s="452">
        <v>618.1</v>
      </c>
      <c r="AH16" s="453">
        <v>534.6</v>
      </c>
      <c r="AI16" s="345">
        <v>507.65</v>
      </c>
      <c r="AJ16" s="465"/>
      <c r="AL16" s="344">
        <v>11</v>
      </c>
      <c r="AM16" s="455">
        <v>321</v>
      </c>
      <c r="AN16" s="450" t="s">
        <v>26</v>
      </c>
      <c r="AO16" s="451">
        <v>844.85</v>
      </c>
      <c r="AP16" s="452">
        <v>618.1</v>
      </c>
      <c r="AQ16" s="453">
        <v>534.6</v>
      </c>
      <c r="AR16" s="345">
        <v>507.65</v>
      </c>
      <c r="AS16" s="465"/>
      <c r="AU16" s="344">
        <v>11</v>
      </c>
      <c r="AV16" s="455">
        <v>321</v>
      </c>
      <c r="AW16" s="450" t="s">
        <v>26</v>
      </c>
      <c r="AX16" s="451">
        <v>844.85</v>
      </c>
      <c r="AY16" s="452">
        <v>618.1</v>
      </c>
      <c r="AZ16" s="453">
        <v>534.6</v>
      </c>
      <c r="BA16" s="345">
        <v>507.65</v>
      </c>
      <c r="BB16" s="465"/>
      <c r="BD16" s="344">
        <v>11</v>
      </c>
      <c r="BE16" s="455">
        <v>321</v>
      </c>
      <c r="BF16" s="450" t="s">
        <v>26</v>
      </c>
      <c r="BG16" s="451">
        <v>844.85</v>
      </c>
      <c r="BH16" s="452">
        <v>618.1</v>
      </c>
      <c r="BI16" s="453">
        <v>534.6</v>
      </c>
      <c r="BJ16" s="345">
        <v>507.65</v>
      </c>
      <c r="BK16" s="465"/>
    </row>
    <row r="17" spans="2:63" x14ac:dyDescent="0.2">
      <c r="B17" s="448">
        <v>12</v>
      </c>
      <c r="C17" s="455">
        <v>2212</v>
      </c>
      <c r="D17" s="450" t="s">
        <v>27</v>
      </c>
      <c r="E17" s="451">
        <v>892.4</v>
      </c>
      <c r="F17" s="452">
        <v>634</v>
      </c>
      <c r="G17" s="453">
        <v>535.79999999999995</v>
      </c>
      <c r="H17" s="345">
        <v>512.6</v>
      </c>
      <c r="I17" s="465"/>
      <c r="K17" s="448">
        <v>12</v>
      </c>
      <c r="L17" s="455">
        <v>2212</v>
      </c>
      <c r="M17" s="450" t="s">
        <v>27</v>
      </c>
      <c r="N17" s="451">
        <v>892.4</v>
      </c>
      <c r="O17" s="452">
        <v>634</v>
      </c>
      <c r="P17" s="453">
        <v>535.79999999999995</v>
      </c>
      <c r="Q17" s="345">
        <v>512.6</v>
      </c>
      <c r="R17" s="465"/>
      <c r="T17" s="448">
        <v>12</v>
      </c>
      <c r="U17" s="455">
        <v>2212</v>
      </c>
      <c r="V17" s="450" t="s">
        <v>27</v>
      </c>
      <c r="W17" s="451">
        <v>892.4</v>
      </c>
      <c r="X17" s="452">
        <v>634</v>
      </c>
      <c r="Y17" s="453">
        <v>535.79999999999995</v>
      </c>
      <c r="Z17" s="345">
        <v>512.6</v>
      </c>
      <c r="AA17" s="465"/>
      <c r="AC17" s="448">
        <v>12</v>
      </c>
      <c r="AD17" s="455">
        <v>2212</v>
      </c>
      <c r="AE17" s="450" t="s">
        <v>27</v>
      </c>
      <c r="AF17" s="451">
        <v>892.4</v>
      </c>
      <c r="AG17" s="452">
        <v>634</v>
      </c>
      <c r="AH17" s="453">
        <v>535.79999999999995</v>
      </c>
      <c r="AI17" s="345">
        <v>512.6</v>
      </c>
      <c r="AJ17" s="465"/>
      <c r="AL17" s="448">
        <v>12</v>
      </c>
      <c r="AM17" s="455">
        <v>2212</v>
      </c>
      <c r="AN17" s="450" t="s">
        <v>27</v>
      </c>
      <c r="AO17" s="451">
        <v>892.4</v>
      </c>
      <c r="AP17" s="452">
        <v>634</v>
      </c>
      <c r="AQ17" s="453">
        <v>535.79999999999995</v>
      </c>
      <c r="AR17" s="345">
        <v>512.6</v>
      </c>
      <c r="AS17" s="465"/>
      <c r="AU17" s="448">
        <v>12</v>
      </c>
      <c r="AV17" s="455">
        <v>2212</v>
      </c>
      <c r="AW17" s="450" t="s">
        <v>27</v>
      </c>
      <c r="AX17" s="451">
        <v>892.4</v>
      </c>
      <c r="AY17" s="452">
        <v>634</v>
      </c>
      <c r="AZ17" s="453">
        <v>535.79999999999995</v>
      </c>
      <c r="BA17" s="345">
        <v>512.6</v>
      </c>
      <c r="BB17" s="465"/>
      <c r="BD17" s="448">
        <v>12</v>
      </c>
      <c r="BE17" s="455">
        <v>2212</v>
      </c>
      <c r="BF17" s="450" t="s">
        <v>27</v>
      </c>
      <c r="BG17" s="451">
        <v>892.4</v>
      </c>
      <c r="BH17" s="452">
        <v>634</v>
      </c>
      <c r="BI17" s="453">
        <v>535.79999999999995</v>
      </c>
      <c r="BJ17" s="345">
        <v>512.6</v>
      </c>
      <c r="BK17" s="465"/>
    </row>
    <row r="18" spans="2:63" x14ac:dyDescent="0.2">
      <c r="B18" s="344">
        <v>13</v>
      </c>
      <c r="C18" s="455">
        <v>2759</v>
      </c>
      <c r="D18" s="450" t="s">
        <v>263</v>
      </c>
      <c r="E18" s="451">
        <v>836.1</v>
      </c>
      <c r="F18" s="452">
        <v>617.25</v>
      </c>
      <c r="G18" s="453">
        <v>536.54999999999995</v>
      </c>
      <c r="H18" s="345">
        <v>509.55</v>
      </c>
      <c r="I18" s="466"/>
      <c r="K18" s="344">
        <v>13</v>
      </c>
      <c r="L18" s="455">
        <v>2759</v>
      </c>
      <c r="M18" s="450" t="s">
        <v>263</v>
      </c>
      <c r="N18" s="451">
        <v>836.1</v>
      </c>
      <c r="O18" s="452">
        <v>617.25</v>
      </c>
      <c r="P18" s="453">
        <v>536.54999999999995</v>
      </c>
      <c r="Q18" s="345">
        <v>509.55</v>
      </c>
      <c r="R18" s="466"/>
      <c r="T18" s="344">
        <v>13</v>
      </c>
      <c r="U18" s="455">
        <v>2759</v>
      </c>
      <c r="V18" s="450" t="s">
        <v>263</v>
      </c>
      <c r="W18" s="451">
        <v>836.1</v>
      </c>
      <c r="X18" s="452">
        <v>617.25</v>
      </c>
      <c r="Y18" s="453">
        <v>536.54999999999995</v>
      </c>
      <c r="Z18" s="345">
        <v>509.55</v>
      </c>
      <c r="AA18" s="466"/>
      <c r="AC18" s="344">
        <v>13</v>
      </c>
      <c r="AD18" s="455">
        <v>2759</v>
      </c>
      <c r="AE18" s="450" t="s">
        <v>263</v>
      </c>
      <c r="AF18" s="451">
        <v>836.1</v>
      </c>
      <c r="AG18" s="452">
        <v>617.25</v>
      </c>
      <c r="AH18" s="453">
        <v>536.54999999999995</v>
      </c>
      <c r="AI18" s="345">
        <v>509.55</v>
      </c>
      <c r="AJ18" s="466"/>
      <c r="AL18" s="344">
        <v>13</v>
      </c>
      <c r="AM18" s="455">
        <v>2759</v>
      </c>
      <c r="AN18" s="450" t="s">
        <v>263</v>
      </c>
      <c r="AO18" s="451">
        <v>836.1</v>
      </c>
      <c r="AP18" s="452">
        <v>617.25</v>
      </c>
      <c r="AQ18" s="453">
        <v>536.54999999999995</v>
      </c>
      <c r="AR18" s="345">
        <v>509.55</v>
      </c>
      <c r="AS18" s="466"/>
      <c r="AU18" s="344">
        <v>13</v>
      </c>
      <c r="AV18" s="455">
        <v>2759</v>
      </c>
      <c r="AW18" s="450" t="s">
        <v>263</v>
      </c>
      <c r="AX18" s="451">
        <v>836.1</v>
      </c>
      <c r="AY18" s="452">
        <v>617.25</v>
      </c>
      <c r="AZ18" s="453">
        <v>536.54999999999995</v>
      </c>
      <c r="BA18" s="345">
        <v>509.55</v>
      </c>
      <c r="BB18" s="466"/>
      <c r="BD18" s="344">
        <v>13</v>
      </c>
      <c r="BE18" s="455">
        <v>2759</v>
      </c>
      <c r="BF18" s="450" t="s">
        <v>263</v>
      </c>
      <c r="BG18" s="451">
        <v>836.1</v>
      </c>
      <c r="BH18" s="452">
        <v>617.25</v>
      </c>
      <c r="BI18" s="453">
        <v>536.54999999999995</v>
      </c>
      <c r="BJ18" s="345">
        <v>509.55</v>
      </c>
      <c r="BK18" s="466"/>
    </row>
    <row r="19" spans="2:63" x14ac:dyDescent="0.2">
      <c r="B19" s="448">
        <v>14</v>
      </c>
      <c r="C19" s="455">
        <v>6714</v>
      </c>
      <c r="D19" s="450" t="s">
        <v>127</v>
      </c>
      <c r="E19" s="451">
        <v>860.58699999999999</v>
      </c>
      <c r="F19" s="452">
        <v>623.36400000000003</v>
      </c>
      <c r="G19" s="453">
        <v>539.83965000000001</v>
      </c>
      <c r="H19" s="345">
        <v>520.49249999999995</v>
      </c>
      <c r="I19" s="465" t="s">
        <v>259</v>
      </c>
      <c r="K19" s="448">
        <v>14</v>
      </c>
      <c r="L19" s="455">
        <v>6714</v>
      </c>
      <c r="M19" s="450" t="s">
        <v>127</v>
      </c>
      <c r="N19" s="451">
        <v>860.58699999999999</v>
      </c>
      <c r="O19" s="452">
        <v>623.36400000000003</v>
      </c>
      <c r="P19" s="453">
        <v>539.83965000000001</v>
      </c>
      <c r="Q19" s="345">
        <v>520.49249999999995</v>
      </c>
      <c r="R19" s="465" t="s">
        <v>259</v>
      </c>
      <c r="T19" s="448">
        <v>14</v>
      </c>
      <c r="U19" s="455">
        <v>6714</v>
      </c>
      <c r="V19" s="450" t="s">
        <v>127</v>
      </c>
      <c r="W19" s="451">
        <v>860.58699999999999</v>
      </c>
      <c r="X19" s="452">
        <v>623.36400000000003</v>
      </c>
      <c r="Y19" s="453">
        <v>539.83965000000001</v>
      </c>
      <c r="Z19" s="345">
        <v>520.49249999999995</v>
      </c>
      <c r="AA19" s="465" t="s">
        <v>259</v>
      </c>
      <c r="AC19" s="448">
        <v>14</v>
      </c>
      <c r="AD19" s="455">
        <v>6714</v>
      </c>
      <c r="AE19" s="450" t="s">
        <v>127</v>
      </c>
      <c r="AF19" s="451">
        <v>860.58699999999999</v>
      </c>
      <c r="AG19" s="452">
        <v>623.36400000000003</v>
      </c>
      <c r="AH19" s="453">
        <v>539.83965000000001</v>
      </c>
      <c r="AI19" s="345">
        <v>520.49249999999995</v>
      </c>
      <c r="AJ19" s="465" t="s">
        <v>259</v>
      </c>
      <c r="AL19" s="448">
        <v>14</v>
      </c>
      <c r="AM19" s="455">
        <v>6714</v>
      </c>
      <c r="AN19" s="450" t="s">
        <v>127</v>
      </c>
      <c r="AO19" s="451">
        <v>860.58699999999999</v>
      </c>
      <c r="AP19" s="452">
        <v>623.36400000000003</v>
      </c>
      <c r="AQ19" s="453">
        <v>539.83965000000001</v>
      </c>
      <c r="AR19" s="345">
        <v>520.49249999999995</v>
      </c>
      <c r="AS19" s="465" t="s">
        <v>259</v>
      </c>
      <c r="AU19" s="448">
        <v>14</v>
      </c>
      <c r="AV19" s="455">
        <v>6714</v>
      </c>
      <c r="AW19" s="450" t="s">
        <v>127</v>
      </c>
      <c r="AX19" s="451">
        <v>860.58699999999999</v>
      </c>
      <c r="AY19" s="452">
        <v>623.36400000000003</v>
      </c>
      <c r="AZ19" s="453">
        <v>539.83965000000001</v>
      </c>
      <c r="BA19" s="345">
        <v>520.49249999999995</v>
      </c>
      <c r="BB19" s="465" t="s">
        <v>259</v>
      </c>
      <c r="BD19" s="448">
        <v>14</v>
      </c>
      <c r="BE19" s="455">
        <v>6714</v>
      </c>
      <c r="BF19" s="450" t="s">
        <v>127</v>
      </c>
      <c r="BG19" s="451">
        <v>860.58699999999999</v>
      </c>
      <c r="BH19" s="452">
        <v>623.36400000000003</v>
      </c>
      <c r="BI19" s="453">
        <v>539.83965000000001</v>
      </c>
      <c r="BJ19" s="345">
        <v>520.49249999999995</v>
      </c>
      <c r="BK19" s="465" t="s">
        <v>259</v>
      </c>
    </row>
    <row r="20" spans="2:63" x14ac:dyDescent="0.2">
      <c r="B20" s="344">
        <v>15</v>
      </c>
      <c r="C20" s="455">
        <v>346</v>
      </c>
      <c r="D20" s="450" t="s">
        <v>219</v>
      </c>
      <c r="E20" s="451">
        <v>849.85</v>
      </c>
      <c r="F20" s="452">
        <v>614.4</v>
      </c>
      <c r="G20" s="453">
        <v>540.6</v>
      </c>
      <c r="H20" s="345">
        <v>519.29999999999995</v>
      </c>
      <c r="I20" s="465"/>
      <c r="K20" s="344">
        <v>15</v>
      </c>
      <c r="L20" s="455">
        <v>346</v>
      </c>
      <c r="M20" s="450" t="s">
        <v>219</v>
      </c>
      <c r="N20" s="451">
        <v>849.85</v>
      </c>
      <c r="O20" s="452">
        <v>614.4</v>
      </c>
      <c r="P20" s="453">
        <v>540.6</v>
      </c>
      <c r="Q20" s="345">
        <v>519.29999999999995</v>
      </c>
      <c r="R20" s="465"/>
      <c r="T20" s="344">
        <v>15</v>
      </c>
      <c r="U20" s="455">
        <v>346</v>
      </c>
      <c r="V20" s="450" t="s">
        <v>219</v>
      </c>
      <c r="W20" s="451">
        <v>849.85</v>
      </c>
      <c r="X20" s="452">
        <v>614.4</v>
      </c>
      <c r="Y20" s="453">
        <v>540.6</v>
      </c>
      <c r="Z20" s="345">
        <v>519.29999999999995</v>
      </c>
      <c r="AA20" s="465"/>
      <c r="AC20" s="344">
        <v>15</v>
      </c>
      <c r="AD20" s="455">
        <v>346</v>
      </c>
      <c r="AE20" s="450" t="s">
        <v>219</v>
      </c>
      <c r="AF20" s="451">
        <v>849.85</v>
      </c>
      <c r="AG20" s="452">
        <v>614.4</v>
      </c>
      <c r="AH20" s="453">
        <v>540.6</v>
      </c>
      <c r="AI20" s="345">
        <v>519.29999999999995</v>
      </c>
      <c r="AJ20" s="465"/>
      <c r="AL20" s="344">
        <v>15</v>
      </c>
      <c r="AM20" s="455">
        <v>346</v>
      </c>
      <c r="AN20" s="450" t="s">
        <v>219</v>
      </c>
      <c r="AO20" s="451">
        <v>849.85</v>
      </c>
      <c r="AP20" s="452">
        <v>614.4</v>
      </c>
      <c r="AQ20" s="453">
        <v>540.6</v>
      </c>
      <c r="AR20" s="345">
        <v>519.29999999999995</v>
      </c>
      <c r="AS20" s="465"/>
      <c r="AU20" s="344">
        <v>15</v>
      </c>
      <c r="AV20" s="455">
        <v>346</v>
      </c>
      <c r="AW20" s="450" t="s">
        <v>219</v>
      </c>
      <c r="AX20" s="451">
        <v>849.85</v>
      </c>
      <c r="AY20" s="452">
        <v>614.4</v>
      </c>
      <c r="AZ20" s="453">
        <v>540.6</v>
      </c>
      <c r="BA20" s="345">
        <v>519.29999999999995</v>
      </c>
      <c r="BB20" s="465"/>
      <c r="BD20" s="344">
        <v>15</v>
      </c>
      <c r="BE20" s="455">
        <v>346</v>
      </c>
      <c r="BF20" s="450" t="s">
        <v>219</v>
      </c>
      <c r="BG20" s="451">
        <v>849.85</v>
      </c>
      <c r="BH20" s="452">
        <v>614.4</v>
      </c>
      <c r="BI20" s="453">
        <v>540.6</v>
      </c>
      <c r="BJ20" s="345">
        <v>519.29999999999995</v>
      </c>
      <c r="BK20" s="465"/>
    </row>
    <row r="21" spans="2:63" x14ac:dyDescent="0.2">
      <c r="B21" s="448">
        <v>16</v>
      </c>
      <c r="C21" s="455">
        <v>5854</v>
      </c>
      <c r="D21" s="450" t="s">
        <v>173</v>
      </c>
      <c r="E21" s="451">
        <v>828.1</v>
      </c>
      <c r="F21" s="452">
        <v>618.34559999999999</v>
      </c>
      <c r="G21" s="453">
        <v>541.51755000000003</v>
      </c>
      <c r="H21" s="345">
        <v>517.077</v>
      </c>
      <c r="I21" s="465" t="s">
        <v>259</v>
      </c>
      <c r="K21" s="448">
        <v>16</v>
      </c>
      <c r="L21" s="455">
        <v>5854</v>
      </c>
      <c r="M21" s="450" t="s">
        <v>173</v>
      </c>
      <c r="N21" s="451">
        <v>828.1</v>
      </c>
      <c r="O21" s="452">
        <v>618.34559999999999</v>
      </c>
      <c r="P21" s="453">
        <v>541.51755000000003</v>
      </c>
      <c r="Q21" s="345">
        <v>517.077</v>
      </c>
      <c r="R21" s="465" t="s">
        <v>259</v>
      </c>
      <c r="T21" s="448">
        <v>16</v>
      </c>
      <c r="U21" s="455">
        <v>5854</v>
      </c>
      <c r="V21" s="450" t="s">
        <v>173</v>
      </c>
      <c r="W21" s="451">
        <v>828.1</v>
      </c>
      <c r="X21" s="452">
        <v>618.34559999999999</v>
      </c>
      <c r="Y21" s="453">
        <v>541.51755000000003</v>
      </c>
      <c r="Z21" s="345">
        <v>517.077</v>
      </c>
      <c r="AA21" s="465" t="s">
        <v>259</v>
      </c>
      <c r="AC21" s="448">
        <v>16</v>
      </c>
      <c r="AD21" s="455">
        <v>5854</v>
      </c>
      <c r="AE21" s="450" t="s">
        <v>173</v>
      </c>
      <c r="AF21" s="451">
        <v>828.1</v>
      </c>
      <c r="AG21" s="452">
        <v>618.34559999999999</v>
      </c>
      <c r="AH21" s="453">
        <v>541.51755000000003</v>
      </c>
      <c r="AI21" s="345">
        <v>517.077</v>
      </c>
      <c r="AJ21" s="465" t="s">
        <v>259</v>
      </c>
      <c r="AL21" s="448">
        <v>16</v>
      </c>
      <c r="AM21" s="455">
        <v>5854</v>
      </c>
      <c r="AN21" s="450" t="s">
        <v>173</v>
      </c>
      <c r="AO21" s="451">
        <v>828.1</v>
      </c>
      <c r="AP21" s="452">
        <v>618.34559999999999</v>
      </c>
      <c r="AQ21" s="453">
        <v>541.51755000000003</v>
      </c>
      <c r="AR21" s="345">
        <v>517.077</v>
      </c>
      <c r="AS21" s="465" t="s">
        <v>259</v>
      </c>
      <c r="AU21" s="448">
        <v>16</v>
      </c>
      <c r="AV21" s="455">
        <v>5854</v>
      </c>
      <c r="AW21" s="450" t="s">
        <v>173</v>
      </c>
      <c r="AX21" s="451">
        <v>828.1</v>
      </c>
      <c r="AY21" s="452">
        <v>618.34559999999999</v>
      </c>
      <c r="AZ21" s="453">
        <v>541.51755000000003</v>
      </c>
      <c r="BA21" s="345">
        <v>517.077</v>
      </c>
      <c r="BB21" s="465" t="s">
        <v>259</v>
      </c>
      <c r="BD21" s="448">
        <v>16</v>
      </c>
      <c r="BE21" s="455">
        <v>5854</v>
      </c>
      <c r="BF21" s="450" t="s">
        <v>173</v>
      </c>
      <c r="BG21" s="451">
        <v>828.1</v>
      </c>
      <c r="BH21" s="452">
        <v>618.34559999999999</v>
      </c>
      <c r="BI21" s="453">
        <v>541.51755000000003</v>
      </c>
      <c r="BJ21" s="345">
        <v>517.077</v>
      </c>
      <c r="BK21" s="465" t="s">
        <v>259</v>
      </c>
    </row>
    <row r="22" spans="2:63" x14ac:dyDescent="0.2">
      <c r="B22" s="344">
        <v>17</v>
      </c>
      <c r="C22" s="455">
        <v>1403</v>
      </c>
      <c r="D22" s="450" t="s">
        <v>128</v>
      </c>
      <c r="E22" s="451">
        <v>879.45</v>
      </c>
      <c r="F22" s="452">
        <v>636.6</v>
      </c>
      <c r="G22" s="453">
        <v>541.6</v>
      </c>
      <c r="H22" s="345">
        <v>519.54999999999995</v>
      </c>
      <c r="I22" s="465"/>
      <c r="K22" s="344">
        <v>17</v>
      </c>
      <c r="L22" s="455">
        <v>1403</v>
      </c>
      <c r="M22" s="450" t="s">
        <v>128</v>
      </c>
      <c r="N22" s="451">
        <v>879.45</v>
      </c>
      <c r="O22" s="452">
        <v>636.6</v>
      </c>
      <c r="P22" s="453">
        <v>541.6</v>
      </c>
      <c r="Q22" s="345">
        <v>519.54999999999995</v>
      </c>
      <c r="R22" s="465"/>
      <c r="T22" s="344">
        <v>17</v>
      </c>
      <c r="U22" s="455">
        <v>1403</v>
      </c>
      <c r="V22" s="450" t="s">
        <v>128</v>
      </c>
      <c r="W22" s="451">
        <v>879.45</v>
      </c>
      <c r="X22" s="452">
        <v>636.6</v>
      </c>
      <c r="Y22" s="453">
        <v>541.6</v>
      </c>
      <c r="Z22" s="345">
        <v>519.54999999999995</v>
      </c>
      <c r="AA22" s="465"/>
      <c r="AC22" s="344">
        <v>17</v>
      </c>
      <c r="AD22" s="455">
        <v>1403</v>
      </c>
      <c r="AE22" s="450" t="s">
        <v>128</v>
      </c>
      <c r="AF22" s="451">
        <v>879.45</v>
      </c>
      <c r="AG22" s="452">
        <v>636.6</v>
      </c>
      <c r="AH22" s="453">
        <v>541.6</v>
      </c>
      <c r="AI22" s="345">
        <v>519.54999999999995</v>
      </c>
      <c r="AJ22" s="465"/>
      <c r="AL22" s="344">
        <v>17</v>
      </c>
      <c r="AM22" s="455">
        <v>1403</v>
      </c>
      <c r="AN22" s="450" t="s">
        <v>128</v>
      </c>
      <c r="AO22" s="451">
        <v>879.45</v>
      </c>
      <c r="AP22" s="452">
        <v>636.6</v>
      </c>
      <c r="AQ22" s="453">
        <v>541.6</v>
      </c>
      <c r="AR22" s="345">
        <v>519.54999999999995</v>
      </c>
      <c r="AS22" s="465"/>
      <c r="AU22" s="344">
        <v>17</v>
      </c>
      <c r="AV22" s="455">
        <v>1403</v>
      </c>
      <c r="AW22" s="450" t="s">
        <v>128</v>
      </c>
      <c r="AX22" s="451">
        <v>879.45</v>
      </c>
      <c r="AY22" s="452">
        <v>636.6</v>
      </c>
      <c r="AZ22" s="453">
        <v>541.6</v>
      </c>
      <c r="BA22" s="345">
        <v>519.54999999999995</v>
      </c>
      <c r="BB22" s="465"/>
      <c r="BD22" s="344">
        <v>17</v>
      </c>
      <c r="BE22" s="455">
        <v>1403</v>
      </c>
      <c r="BF22" s="450" t="s">
        <v>128</v>
      </c>
      <c r="BG22" s="451">
        <v>879.45</v>
      </c>
      <c r="BH22" s="452">
        <v>636.6</v>
      </c>
      <c r="BI22" s="453">
        <v>541.6</v>
      </c>
      <c r="BJ22" s="345">
        <v>519.54999999999995</v>
      </c>
      <c r="BK22" s="465"/>
    </row>
    <row r="23" spans="2:63" x14ac:dyDescent="0.2">
      <c r="B23" s="448">
        <v>18</v>
      </c>
      <c r="C23" s="455">
        <v>5496</v>
      </c>
      <c r="D23" s="450" t="s">
        <v>175</v>
      </c>
      <c r="E23" s="451">
        <v>868</v>
      </c>
      <c r="F23" s="452">
        <v>632.54999999999995</v>
      </c>
      <c r="G23" s="453">
        <v>542.70000000000005</v>
      </c>
      <c r="H23" s="345">
        <v>515.75</v>
      </c>
      <c r="I23" s="465"/>
      <c r="K23" s="448">
        <v>18</v>
      </c>
      <c r="L23" s="455">
        <v>5496</v>
      </c>
      <c r="M23" s="450" t="s">
        <v>175</v>
      </c>
      <c r="N23" s="451">
        <v>868</v>
      </c>
      <c r="O23" s="452">
        <v>632.54999999999995</v>
      </c>
      <c r="P23" s="453">
        <v>542.70000000000005</v>
      </c>
      <c r="Q23" s="345">
        <v>515.75</v>
      </c>
      <c r="R23" s="465"/>
      <c r="T23" s="448">
        <v>18</v>
      </c>
      <c r="U23" s="455">
        <v>5496</v>
      </c>
      <c r="V23" s="450" t="s">
        <v>175</v>
      </c>
      <c r="W23" s="451">
        <v>868</v>
      </c>
      <c r="X23" s="452">
        <v>632.54999999999995</v>
      </c>
      <c r="Y23" s="453">
        <v>542.70000000000005</v>
      </c>
      <c r="Z23" s="345">
        <v>515.75</v>
      </c>
      <c r="AA23" s="465"/>
      <c r="AC23" s="448">
        <v>18</v>
      </c>
      <c r="AD23" s="455">
        <v>5496</v>
      </c>
      <c r="AE23" s="450" t="s">
        <v>175</v>
      </c>
      <c r="AF23" s="451">
        <v>868</v>
      </c>
      <c r="AG23" s="452">
        <v>632.54999999999995</v>
      </c>
      <c r="AH23" s="453">
        <v>542.70000000000005</v>
      </c>
      <c r="AI23" s="345">
        <v>515.75</v>
      </c>
      <c r="AJ23" s="465"/>
      <c r="AL23" s="448">
        <v>18</v>
      </c>
      <c r="AM23" s="455">
        <v>5496</v>
      </c>
      <c r="AN23" s="450" t="s">
        <v>175</v>
      </c>
      <c r="AO23" s="451">
        <v>868</v>
      </c>
      <c r="AP23" s="452">
        <v>632.54999999999995</v>
      </c>
      <c r="AQ23" s="453">
        <v>542.70000000000005</v>
      </c>
      <c r="AR23" s="345">
        <v>515.75</v>
      </c>
      <c r="AS23" s="465"/>
      <c r="AU23" s="448">
        <v>18</v>
      </c>
      <c r="AV23" s="455">
        <v>5496</v>
      </c>
      <c r="AW23" s="450" t="s">
        <v>175</v>
      </c>
      <c r="AX23" s="451">
        <v>868</v>
      </c>
      <c r="AY23" s="452">
        <v>632.54999999999995</v>
      </c>
      <c r="AZ23" s="453">
        <v>542.70000000000005</v>
      </c>
      <c r="BA23" s="345">
        <v>515.75</v>
      </c>
      <c r="BB23" s="465"/>
      <c r="BD23" s="448">
        <v>18</v>
      </c>
      <c r="BE23" s="455">
        <v>5496</v>
      </c>
      <c r="BF23" s="450" t="s">
        <v>175</v>
      </c>
      <c r="BG23" s="451">
        <v>868</v>
      </c>
      <c r="BH23" s="452">
        <v>632.54999999999995</v>
      </c>
      <c r="BI23" s="453">
        <v>542.70000000000005</v>
      </c>
      <c r="BJ23" s="345">
        <v>515.75</v>
      </c>
      <c r="BK23" s="465"/>
    </row>
    <row r="24" spans="2:63" x14ac:dyDescent="0.2">
      <c r="B24" s="344">
        <v>19</v>
      </c>
      <c r="C24" s="455">
        <v>150</v>
      </c>
      <c r="D24" s="450" t="s">
        <v>174</v>
      </c>
      <c r="E24" s="451">
        <v>844.07399999999996</v>
      </c>
      <c r="F24" s="452">
        <v>622.33079999999995</v>
      </c>
      <c r="G24" s="453">
        <v>543.88634999999999</v>
      </c>
      <c r="H24" s="345">
        <v>519.75</v>
      </c>
      <c r="I24" s="465" t="s">
        <v>259</v>
      </c>
      <c r="K24" s="344">
        <v>19</v>
      </c>
      <c r="L24" s="455">
        <v>150</v>
      </c>
      <c r="M24" s="450" t="s">
        <v>174</v>
      </c>
      <c r="N24" s="451">
        <v>844.07399999999996</v>
      </c>
      <c r="O24" s="452">
        <v>622.33079999999995</v>
      </c>
      <c r="P24" s="453">
        <v>543.88634999999999</v>
      </c>
      <c r="Q24" s="345">
        <v>519.75</v>
      </c>
      <c r="R24" s="465" t="s">
        <v>259</v>
      </c>
      <c r="T24" s="344">
        <v>19</v>
      </c>
      <c r="U24" s="455">
        <v>150</v>
      </c>
      <c r="V24" s="450" t="s">
        <v>174</v>
      </c>
      <c r="W24" s="451">
        <v>844.07399999999996</v>
      </c>
      <c r="X24" s="452">
        <v>622.33079999999995</v>
      </c>
      <c r="Y24" s="453">
        <v>543.88634999999999</v>
      </c>
      <c r="Z24" s="345">
        <v>519.75</v>
      </c>
      <c r="AA24" s="465" t="s">
        <v>259</v>
      </c>
      <c r="AC24" s="344">
        <v>19</v>
      </c>
      <c r="AD24" s="455">
        <v>150</v>
      </c>
      <c r="AE24" s="450" t="s">
        <v>174</v>
      </c>
      <c r="AF24" s="451">
        <v>844.07399999999996</v>
      </c>
      <c r="AG24" s="452">
        <v>622.33079999999995</v>
      </c>
      <c r="AH24" s="453">
        <v>543.88634999999999</v>
      </c>
      <c r="AI24" s="345">
        <v>519.75</v>
      </c>
      <c r="AJ24" s="465" t="s">
        <v>259</v>
      </c>
      <c r="AL24" s="344">
        <v>19</v>
      </c>
      <c r="AM24" s="455">
        <v>150</v>
      </c>
      <c r="AN24" s="450" t="s">
        <v>174</v>
      </c>
      <c r="AO24" s="451">
        <v>844.07399999999996</v>
      </c>
      <c r="AP24" s="452">
        <v>622.33079999999995</v>
      </c>
      <c r="AQ24" s="453">
        <v>543.88634999999999</v>
      </c>
      <c r="AR24" s="345">
        <v>519.75</v>
      </c>
      <c r="AS24" s="465" t="s">
        <v>259</v>
      </c>
      <c r="AU24" s="344">
        <v>19</v>
      </c>
      <c r="AV24" s="455">
        <v>150</v>
      </c>
      <c r="AW24" s="450" t="s">
        <v>174</v>
      </c>
      <c r="AX24" s="451">
        <v>844.07399999999996</v>
      </c>
      <c r="AY24" s="452">
        <v>622.33079999999995</v>
      </c>
      <c r="AZ24" s="453">
        <v>543.88634999999999</v>
      </c>
      <c r="BA24" s="345">
        <v>519.75</v>
      </c>
      <c r="BB24" s="465" t="s">
        <v>259</v>
      </c>
      <c r="BD24" s="344">
        <v>19</v>
      </c>
      <c r="BE24" s="455">
        <v>150</v>
      </c>
      <c r="BF24" s="450" t="s">
        <v>174</v>
      </c>
      <c r="BG24" s="451">
        <v>844.07399999999996</v>
      </c>
      <c r="BH24" s="452">
        <v>622.33079999999995</v>
      </c>
      <c r="BI24" s="453">
        <v>543.88634999999999</v>
      </c>
      <c r="BJ24" s="345">
        <v>519.75</v>
      </c>
      <c r="BK24" s="465" t="s">
        <v>259</v>
      </c>
    </row>
    <row r="25" spans="2:63" x14ac:dyDescent="0.2">
      <c r="B25" s="448">
        <v>20</v>
      </c>
      <c r="C25" s="455">
        <v>6971</v>
      </c>
      <c r="D25" s="450" t="s">
        <v>310</v>
      </c>
      <c r="E25" s="451">
        <v>851.25</v>
      </c>
      <c r="F25" s="452">
        <v>625.25</v>
      </c>
      <c r="G25" s="453">
        <v>544.45000000000005</v>
      </c>
      <c r="H25" s="345">
        <v>517.65</v>
      </c>
      <c r="I25" s="465"/>
      <c r="K25" s="448">
        <v>20</v>
      </c>
      <c r="L25" s="455">
        <v>6971</v>
      </c>
      <c r="M25" s="450" t="s">
        <v>310</v>
      </c>
      <c r="N25" s="451">
        <v>851.25</v>
      </c>
      <c r="O25" s="452">
        <v>625.25</v>
      </c>
      <c r="P25" s="453">
        <v>544.45000000000005</v>
      </c>
      <c r="Q25" s="345">
        <v>517.65</v>
      </c>
      <c r="R25" s="465"/>
      <c r="T25" s="448">
        <v>20</v>
      </c>
      <c r="U25" s="455">
        <v>6971</v>
      </c>
      <c r="V25" s="450" t="s">
        <v>310</v>
      </c>
      <c r="W25" s="451">
        <v>851.25</v>
      </c>
      <c r="X25" s="452">
        <v>625.25</v>
      </c>
      <c r="Y25" s="453">
        <v>544.45000000000005</v>
      </c>
      <c r="Z25" s="345">
        <v>517.65</v>
      </c>
      <c r="AA25" s="465"/>
      <c r="AC25" s="448">
        <v>20</v>
      </c>
      <c r="AD25" s="455">
        <v>6971</v>
      </c>
      <c r="AE25" s="450" t="s">
        <v>310</v>
      </c>
      <c r="AF25" s="451">
        <v>851.25</v>
      </c>
      <c r="AG25" s="452">
        <v>625.25</v>
      </c>
      <c r="AH25" s="453">
        <v>544.45000000000005</v>
      </c>
      <c r="AI25" s="345">
        <v>517.65</v>
      </c>
      <c r="AJ25" s="465"/>
      <c r="AL25" s="448">
        <v>20</v>
      </c>
      <c r="AM25" s="455">
        <v>6971</v>
      </c>
      <c r="AN25" s="450" t="s">
        <v>310</v>
      </c>
      <c r="AO25" s="451">
        <v>851.25</v>
      </c>
      <c r="AP25" s="452">
        <v>625.25</v>
      </c>
      <c r="AQ25" s="453">
        <v>544.45000000000005</v>
      </c>
      <c r="AR25" s="345">
        <v>517.65</v>
      </c>
      <c r="AS25" s="465"/>
      <c r="AU25" s="448">
        <v>20</v>
      </c>
      <c r="AV25" s="455">
        <v>6971</v>
      </c>
      <c r="AW25" s="450" t="s">
        <v>310</v>
      </c>
      <c r="AX25" s="451">
        <v>851.25</v>
      </c>
      <c r="AY25" s="452">
        <v>625.25</v>
      </c>
      <c r="AZ25" s="453">
        <v>544.45000000000005</v>
      </c>
      <c r="BA25" s="345">
        <v>517.65</v>
      </c>
      <c r="BB25" s="465"/>
      <c r="BD25" s="448">
        <v>20</v>
      </c>
      <c r="BE25" s="455">
        <v>6971</v>
      </c>
      <c r="BF25" s="450" t="s">
        <v>310</v>
      </c>
      <c r="BG25" s="451">
        <v>851.25</v>
      </c>
      <c r="BH25" s="452">
        <v>625.25</v>
      </c>
      <c r="BI25" s="453">
        <v>544.45000000000005</v>
      </c>
      <c r="BJ25" s="345">
        <v>517.65</v>
      </c>
      <c r="BK25" s="465"/>
    </row>
    <row r="26" spans="2:63" x14ac:dyDescent="0.2">
      <c r="B26" s="344">
        <v>21</v>
      </c>
      <c r="C26" s="455">
        <v>3387</v>
      </c>
      <c r="D26" s="450" t="s">
        <v>129</v>
      </c>
      <c r="E26" s="451">
        <v>847.30799999999999</v>
      </c>
      <c r="F26" s="452">
        <v>626.36519999999996</v>
      </c>
      <c r="G26" s="453">
        <v>546.40319999999997</v>
      </c>
      <c r="H26" s="345">
        <v>521.63099999999997</v>
      </c>
      <c r="I26" s="465" t="s">
        <v>259</v>
      </c>
      <c r="K26" s="344">
        <v>21</v>
      </c>
      <c r="L26" s="455">
        <v>3387</v>
      </c>
      <c r="M26" s="450" t="s">
        <v>129</v>
      </c>
      <c r="N26" s="451">
        <v>847.30799999999999</v>
      </c>
      <c r="O26" s="452">
        <v>626.36519999999996</v>
      </c>
      <c r="P26" s="453">
        <v>546.40319999999997</v>
      </c>
      <c r="Q26" s="345">
        <v>521.63099999999997</v>
      </c>
      <c r="R26" s="465" t="s">
        <v>259</v>
      </c>
      <c r="T26" s="344">
        <v>21</v>
      </c>
      <c r="U26" s="455">
        <v>3387</v>
      </c>
      <c r="V26" s="450" t="s">
        <v>129</v>
      </c>
      <c r="W26" s="451">
        <v>847.30799999999999</v>
      </c>
      <c r="X26" s="452">
        <v>626.36519999999996</v>
      </c>
      <c r="Y26" s="453">
        <v>546.40319999999997</v>
      </c>
      <c r="Z26" s="345">
        <v>521.63099999999997</v>
      </c>
      <c r="AA26" s="465" t="s">
        <v>259</v>
      </c>
      <c r="AC26" s="344">
        <v>21</v>
      </c>
      <c r="AD26" s="455">
        <v>3387</v>
      </c>
      <c r="AE26" s="450" t="s">
        <v>129</v>
      </c>
      <c r="AF26" s="451">
        <v>847.30799999999999</v>
      </c>
      <c r="AG26" s="452">
        <v>626.36519999999996</v>
      </c>
      <c r="AH26" s="453">
        <v>546.40319999999997</v>
      </c>
      <c r="AI26" s="345">
        <v>521.63099999999997</v>
      </c>
      <c r="AJ26" s="465" t="s">
        <v>259</v>
      </c>
      <c r="AL26" s="344">
        <v>21</v>
      </c>
      <c r="AM26" s="455">
        <v>3387</v>
      </c>
      <c r="AN26" s="450" t="s">
        <v>129</v>
      </c>
      <c r="AO26" s="451">
        <v>847.30799999999999</v>
      </c>
      <c r="AP26" s="452">
        <v>626.36519999999996</v>
      </c>
      <c r="AQ26" s="453">
        <v>546.40319999999997</v>
      </c>
      <c r="AR26" s="345">
        <v>521.63099999999997</v>
      </c>
      <c r="AS26" s="465" t="s">
        <v>259</v>
      </c>
      <c r="AU26" s="344">
        <v>21</v>
      </c>
      <c r="AV26" s="455">
        <v>3387</v>
      </c>
      <c r="AW26" s="450" t="s">
        <v>129</v>
      </c>
      <c r="AX26" s="451">
        <v>847.30799999999999</v>
      </c>
      <c r="AY26" s="452">
        <v>626.36519999999996</v>
      </c>
      <c r="AZ26" s="453">
        <v>546.40319999999997</v>
      </c>
      <c r="BA26" s="345">
        <v>521.63099999999997</v>
      </c>
      <c r="BB26" s="465" t="s">
        <v>259</v>
      </c>
      <c r="BD26" s="344">
        <v>21</v>
      </c>
      <c r="BE26" s="455">
        <v>3387</v>
      </c>
      <c r="BF26" s="450" t="s">
        <v>129</v>
      </c>
      <c r="BG26" s="451">
        <v>847.30799999999999</v>
      </c>
      <c r="BH26" s="452">
        <v>626.36519999999996</v>
      </c>
      <c r="BI26" s="453">
        <v>546.40319999999997</v>
      </c>
      <c r="BJ26" s="345">
        <v>521.63099999999997</v>
      </c>
      <c r="BK26" s="465" t="s">
        <v>259</v>
      </c>
    </row>
    <row r="27" spans="2:63" x14ac:dyDescent="0.2">
      <c r="B27" s="448">
        <v>22</v>
      </c>
      <c r="C27" s="455">
        <v>162</v>
      </c>
      <c r="D27" s="450" t="s">
        <v>264</v>
      </c>
      <c r="E27" s="451">
        <v>864.15</v>
      </c>
      <c r="F27" s="452">
        <v>633.29999999999995</v>
      </c>
      <c r="G27" s="453">
        <v>547.54999999999995</v>
      </c>
      <c r="H27" s="345">
        <v>522.5</v>
      </c>
      <c r="I27" s="465"/>
      <c r="K27" s="448">
        <v>22</v>
      </c>
      <c r="L27" s="455">
        <v>162</v>
      </c>
      <c r="M27" s="450" t="s">
        <v>264</v>
      </c>
      <c r="N27" s="451">
        <v>864.15</v>
      </c>
      <c r="O27" s="452">
        <v>633.29999999999995</v>
      </c>
      <c r="P27" s="453">
        <v>547.54999999999995</v>
      </c>
      <c r="Q27" s="345">
        <v>522.5</v>
      </c>
      <c r="R27" s="465"/>
      <c r="T27" s="448">
        <v>22</v>
      </c>
      <c r="U27" s="455">
        <v>162</v>
      </c>
      <c r="V27" s="450" t="s">
        <v>264</v>
      </c>
      <c r="W27" s="451">
        <v>864.15</v>
      </c>
      <c r="X27" s="452">
        <v>633.29999999999995</v>
      </c>
      <c r="Y27" s="453">
        <v>547.54999999999995</v>
      </c>
      <c r="Z27" s="345">
        <v>522.5</v>
      </c>
      <c r="AA27" s="465"/>
      <c r="AC27" s="448">
        <v>22</v>
      </c>
      <c r="AD27" s="455">
        <v>162</v>
      </c>
      <c r="AE27" s="450" t="s">
        <v>264</v>
      </c>
      <c r="AF27" s="451">
        <v>864.15</v>
      </c>
      <c r="AG27" s="452">
        <v>633.29999999999995</v>
      </c>
      <c r="AH27" s="453">
        <v>547.54999999999995</v>
      </c>
      <c r="AI27" s="345">
        <v>522.5</v>
      </c>
      <c r="AJ27" s="465"/>
      <c r="AL27" s="448">
        <v>22</v>
      </c>
      <c r="AM27" s="455">
        <v>162</v>
      </c>
      <c r="AN27" s="450" t="s">
        <v>264</v>
      </c>
      <c r="AO27" s="451">
        <v>864.15</v>
      </c>
      <c r="AP27" s="452">
        <v>633.29999999999995</v>
      </c>
      <c r="AQ27" s="453">
        <v>547.54999999999995</v>
      </c>
      <c r="AR27" s="345">
        <v>522.5</v>
      </c>
      <c r="AS27" s="465"/>
      <c r="AU27" s="448">
        <v>22</v>
      </c>
      <c r="AV27" s="455">
        <v>162</v>
      </c>
      <c r="AW27" s="450" t="s">
        <v>264</v>
      </c>
      <c r="AX27" s="451">
        <v>864.15</v>
      </c>
      <c r="AY27" s="452">
        <v>633.29999999999995</v>
      </c>
      <c r="AZ27" s="453">
        <v>547.54999999999995</v>
      </c>
      <c r="BA27" s="345">
        <v>522.5</v>
      </c>
      <c r="BB27" s="465"/>
      <c r="BD27" s="448">
        <v>22</v>
      </c>
      <c r="BE27" s="455">
        <v>162</v>
      </c>
      <c r="BF27" s="450" t="s">
        <v>264</v>
      </c>
      <c r="BG27" s="451">
        <v>864.15</v>
      </c>
      <c r="BH27" s="452">
        <v>633.29999999999995</v>
      </c>
      <c r="BI27" s="453">
        <v>547.54999999999995</v>
      </c>
      <c r="BJ27" s="345">
        <v>522.5</v>
      </c>
      <c r="BK27" s="465"/>
    </row>
    <row r="28" spans="2:63" x14ac:dyDescent="0.2">
      <c r="B28" s="344">
        <v>23</v>
      </c>
      <c r="C28" s="455">
        <v>6732</v>
      </c>
      <c r="D28" s="450" t="s">
        <v>29</v>
      </c>
      <c r="E28" s="451">
        <v>847.95</v>
      </c>
      <c r="F28" s="452">
        <v>621.35</v>
      </c>
      <c r="G28" s="453">
        <v>547.65</v>
      </c>
      <c r="H28" s="345">
        <v>523.75</v>
      </c>
      <c r="I28" s="465"/>
      <c r="K28" s="344">
        <v>23</v>
      </c>
      <c r="L28" s="455">
        <v>6732</v>
      </c>
      <c r="M28" s="450" t="s">
        <v>29</v>
      </c>
      <c r="N28" s="451">
        <v>847.95</v>
      </c>
      <c r="O28" s="452">
        <v>621.35</v>
      </c>
      <c r="P28" s="453">
        <v>547.65</v>
      </c>
      <c r="Q28" s="345">
        <v>523.75</v>
      </c>
      <c r="R28" s="465"/>
      <c r="T28" s="344">
        <v>23</v>
      </c>
      <c r="U28" s="455">
        <v>6732</v>
      </c>
      <c r="V28" s="450" t="s">
        <v>29</v>
      </c>
      <c r="W28" s="451">
        <v>847.95</v>
      </c>
      <c r="X28" s="452">
        <v>621.35</v>
      </c>
      <c r="Y28" s="453">
        <v>547.65</v>
      </c>
      <c r="Z28" s="345">
        <v>523.75</v>
      </c>
      <c r="AA28" s="465"/>
      <c r="AC28" s="344">
        <v>23</v>
      </c>
      <c r="AD28" s="455">
        <v>6732</v>
      </c>
      <c r="AE28" s="450" t="s">
        <v>29</v>
      </c>
      <c r="AF28" s="451">
        <v>847.95</v>
      </c>
      <c r="AG28" s="452">
        <v>621.35</v>
      </c>
      <c r="AH28" s="453">
        <v>547.65</v>
      </c>
      <c r="AI28" s="345">
        <v>523.75</v>
      </c>
      <c r="AJ28" s="465"/>
      <c r="AL28" s="344">
        <v>23</v>
      </c>
      <c r="AM28" s="455">
        <v>6732</v>
      </c>
      <c r="AN28" s="450" t="s">
        <v>29</v>
      </c>
      <c r="AO28" s="451">
        <v>847.95</v>
      </c>
      <c r="AP28" s="452">
        <v>621.35</v>
      </c>
      <c r="AQ28" s="453">
        <v>547.65</v>
      </c>
      <c r="AR28" s="345">
        <v>523.75</v>
      </c>
      <c r="AS28" s="465"/>
      <c r="AU28" s="344">
        <v>23</v>
      </c>
      <c r="AV28" s="455">
        <v>6732</v>
      </c>
      <c r="AW28" s="450" t="s">
        <v>29</v>
      </c>
      <c r="AX28" s="451">
        <v>847.95</v>
      </c>
      <c r="AY28" s="452">
        <v>621.35</v>
      </c>
      <c r="AZ28" s="453">
        <v>547.65</v>
      </c>
      <c r="BA28" s="345">
        <v>523.75</v>
      </c>
      <c r="BB28" s="465"/>
      <c r="BD28" s="344">
        <v>23</v>
      </c>
      <c r="BE28" s="455">
        <v>6732</v>
      </c>
      <c r="BF28" s="450" t="s">
        <v>29</v>
      </c>
      <c r="BG28" s="451">
        <v>847.95</v>
      </c>
      <c r="BH28" s="452">
        <v>621.35</v>
      </c>
      <c r="BI28" s="453">
        <v>547.65</v>
      </c>
      <c r="BJ28" s="345">
        <v>523.75</v>
      </c>
      <c r="BK28" s="465"/>
    </row>
    <row r="29" spans="2:63" x14ac:dyDescent="0.2">
      <c r="B29" s="448">
        <v>24</v>
      </c>
      <c r="C29" s="455">
        <v>6735</v>
      </c>
      <c r="D29" s="450" t="s">
        <v>220</v>
      </c>
      <c r="E29" s="451">
        <v>852.9</v>
      </c>
      <c r="F29" s="452">
        <v>623.65</v>
      </c>
      <c r="G29" s="453">
        <v>549.6</v>
      </c>
      <c r="H29" s="345">
        <v>525.15</v>
      </c>
      <c r="I29" s="465"/>
      <c r="K29" s="448">
        <v>24</v>
      </c>
      <c r="L29" s="455">
        <v>6735</v>
      </c>
      <c r="M29" s="450" t="s">
        <v>220</v>
      </c>
      <c r="N29" s="451">
        <v>852.9</v>
      </c>
      <c r="O29" s="452">
        <v>623.65</v>
      </c>
      <c r="P29" s="453">
        <v>549.6</v>
      </c>
      <c r="Q29" s="345">
        <v>525.15</v>
      </c>
      <c r="R29" s="465"/>
      <c r="T29" s="448">
        <v>24</v>
      </c>
      <c r="U29" s="455">
        <v>6735</v>
      </c>
      <c r="V29" s="450" t="s">
        <v>220</v>
      </c>
      <c r="W29" s="451">
        <v>852.9</v>
      </c>
      <c r="X29" s="452">
        <v>623.65</v>
      </c>
      <c r="Y29" s="453">
        <v>549.6</v>
      </c>
      <c r="Z29" s="345">
        <v>525.15</v>
      </c>
      <c r="AA29" s="465"/>
      <c r="AC29" s="448">
        <v>24</v>
      </c>
      <c r="AD29" s="455">
        <v>6735</v>
      </c>
      <c r="AE29" s="450" t="s">
        <v>220</v>
      </c>
      <c r="AF29" s="451">
        <v>852.9</v>
      </c>
      <c r="AG29" s="452">
        <v>623.65</v>
      </c>
      <c r="AH29" s="453">
        <v>549.6</v>
      </c>
      <c r="AI29" s="345">
        <v>525.15</v>
      </c>
      <c r="AJ29" s="465"/>
      <c r="AL29" s="448">
        <v>24</v>
      </c>
      <c r="AM29" s="455">
        <v>6735</v>
      </c>
      <c r="AN29" s="450" t="s">
        <v>220</v>
      </c>
      <c r="AO29" s="451">
        <v>852.9</v>
      </c>
      <c r="AP29" s="452">
        <v>623.65</v>
      </c>
      <c r="AQ29" s="453">
        <v>549.6</v>
      </c>
      <c r="AR29" s="345">
        <v>525.15</v>
      </c>
      <c r="AS29" s="465"/>
      <c r="AU29" s="448">
        <v>24</v>
      </c>
      <c r="AV29" s="455">
        <v>6735</v>
      </c>
      <c r="AW29" s="450" t="s">
        <v>220</v>
      </c>
      <c r="AX29" s="451">
        <v>852.9</v>
      </c>
      <c r="AY29" s="452">
        <v>623.65</v>
      </c>
      <c r="AZ29" s="453">
        <v>549.6</v>
      </c>
      <c r="BA29" s="345">
        <v>525.15</v>
      </c>
      <c r="BB29" s="465"/>
      <c r="BD29" s="448">
        <v>24</v>
      </c>
      <c r="BE29" s="455">
        <v>6735</v>
      </c>
      <c r="BF29" s="450" t="s">
        <v>220</v>
      </c>
      <c r="BG29" s="451">
        <v>852.9</v>
      </c>
      <c r="BH29" s="452">
        <v>623.65</v>
      </c>
      <c r="BI29" s="453">
        <v>549.6</v>
      </c>
      <c r="BJ29" s="345">
        <v>525.15</v>
      </c>
      <c r="BK29" s="465"/>
    </row>
    <row r="30" spans="2:63" x14ac:dyDescent="0.2">
      <c r="B30" s="344">
        <v>25</v>
      </c>
      <c r="C30" s="455">
        <v>4071</v>
      </c>
      <c r="D30" s="450" t="s">
        <v>221</v>
      </c>
      <c r="E30" s="451">
        <v>917.35</v>
      </c>
      <c r="F30" s="452">
        <v>654.9</v>
      </c>
      <c r="G30" s="453">
        <v>553.04999999999995</v>
      </c>
      <c r="H30" s="345">
        <v>529.04999999999995</v>
      </c>
      <c r="I30" s="465"/>
      <c r="K30" s="344">
        <v>25</v>
      </c>
      <c r="L30" s="455">
        <v>4071</v>
      </c>
      <c r="M30" s="450" t="s">
        <v>221</v>
      </c>
      <c r="N30" s="451">
        <v>917.35</v>
      </c>
      <c r="O30" s="452">
        <v>654.9</v>
      </c>
      <c r="P30" s="453">
        <v>553.04999999999995</v>
      </c>
      <c r="Q30" s="345">
        <v>529.04999999999995</v>
      </c>
      <c r="R30" s="465"/>
      <c r="T30" s="344">
        <v>25</v>
      </c>
      <c r="U30" s="455">
        <v>4071</v>
      </c>
      <c r="V30" s="450" t="s">
        <v>221</v>
      </c>
      <c r="W30" s="451">
        <v>917.35</v>
      </c>
      <c r="X30" s="452">
        <v>654.9</v>
      </c>
      <c r="Y30" s="453">
        <v>553.04999999999995</v>
      </c>
      <c r="Z30" s="345">
        <v>529.04999999999995</v>
      </c>
      <c r="AA30" s="465"/>
      <c r="AC30" s="344">
        <v>25</v>
      </c>
      <c r="AD30" s="455">
        <v>4071</v>
      </c>
      <c r="AE30" s="450" t="s">
        <v>221</v>
      </c>
      <c r="AF30" s="451">
        <v>917.35</v>
      </c>
      <c r="AG30" s="452">
        <v>654.9</v>
      </c>
      <c r="AH30" s="453">
        <v>553.04999999999995</v>
      </c>
      <c r="AI30" s="345">
        <v>529.04999999999995</v>
      </c>
      <c r="AJ30" s="465"/>
      <c r="AL30" s="344">
        <v>25</v>
      </c>
      <c r="AM30" s="455">
        <v>4071</v>
      </c>
      <c r="AN30" s="450" t="s">
        <v>221</v>
      </c>
      <c r="AO30" s="451">
        <v>917.35</v>
      </c>
      <c r="AP30" s="452">
        <v>654.9</v>
      </c>
      <c r="AQ30" s="453">
        <v>553.04999999999995</v>
      </c>
      <c r="AR30" s="345">
        <v>529.04999999999995</v>
      </c>
      <c r="AS30" s="465"/>
      <c r="AU30" s="344">
        <v>25</v>
      </c>
      <c r="AV30" s="455">
        <v>4071</v>
      </c>
      <c r="AW30" s="450" t="s">
        <v>221</v>
      </c>
      <c r="AX30" s="451">
        <v>917.35</v>
      </c>
      <c r="AY30" s="452">
        <v>654.9</v>
      </c>
      <c r="AZ30" s="453">
        <v>553.04999999999995</v>
      </c>
      <c r="BA30" s="345">
        <v>529.04999999999995</v>
      </c>
      <c r="BB30" s="465"/>
      <c r="BD30" s="344">
        <v>25</v>
      </c>
      <c r="BE30" s="455">
        <v>4071</v>
      </c>
      <c r="BF30" s="450" t="s">
        <v>221</v>
      </c>
      <c r="BG30" s="451">
        <v>917.35</v>
      </c>
      <c r="BH30" s="452">
        <v>654.9</v>
      </c>
      <c r="BI30" s="453">
        <v>553.04999999999995</v>
      </c>
      <c r="BJ30" s="345">
        <v>529.04999999999995</v>
      </c>
      <c r="BK30" s="465"/>
    </row>
    <row r="31" spans="2:63" x14ac:dyDescent="0.2">
      <c r="B31" s="448">
        <v>26</v>
      </c>
      <c r="C31" s="455">
        <v>6766</v>
      </c>
      <c r="D31" s="450" t="s">
        <v>28</v>
      </c>
      <c r="E31" s="451">
        <v>867.15</v>
      </c>
      <c r="F31" s="452">
        <v>635.35</v>
      </c>
      <c r="G31" s="453">
        <v>553.70000000000005</v>
      </c>
      <c r="H31" s="345">
        <v>528.6</v>
      </c>
      <c r="I31" s="465"/>
      <c r="K31" s="448">
        <v>26</v>
      </c>
      <c r="L31" s="455">
        <v>6766</v>
      </c>
      <c r="M31" s="450" t="s">
        <v>28</v>
      </c>
      <c r="N31" s="451">
        <v>867.15</v>
      </c>
      <c r="O31" s="452">
        <v>635.35</v>
      </c>
      <c r="P31" s="453">
        <v>553.70000000000005</v>
      </c>
      <c r="Q31" s="345">
        <v>528.6</v>
      </c>
      <c r="R31" s="465"/>
      <c r="T31" s="448">
        <v>26</v>
      </c>
      <c r="U31" s="455">
        <v>6766</v>
      </c>
      <c r="V31" s="450" t="s">
        <v>28</v>
      </c>
      <c r="W31" s="451">
        <v>867.15</v>
      </c>
      <c r="X31" s="452">
        <v>635.35</v>
      </c>
      <c r="Y31" s="453">
        <v>553.70000000000005</v>
      </c>
      <c r="Z31" s="345">
        <v>528.6</v>
      </c>
      <c r="AA31" s="465"/>
      <c r="AC31" s="448">
        <v>26</v>
      </c>
      <c r="AD31" s="455">
        <v>6766</v>
      </c>
      <c r="AE31" s="450" t="s">
        <v>28</v>
      </c>
      <c r="AF31" s="451">
        <v>867.15</v>
      </c>
      <c r="AG31" s="452">
        <v>635.35</v>
      </c>
      <c r="AH31" s="453">
        <v>553.70000000000005</v>
      </c>
      <c r="AI31" s="345">
        <v>528.6</v>
      </c>
      <c r="AJ31" s="465"/>
      <c r="AL31" s="448">
        <v>26</v>
      </c>
      <c r="AM31" s="455">
        <v>6766</v>
      </c>
      <c r="AN31" s="450" t="s">
        <v>28</v>
      </c>
      <c r="AO31" s="451">
        <v>867.15</v>
      </c>
      <c r="AP31" s="452">
        <v>635.35</v>
      </c>
      <c r="AQ31" s="453">
        <v>553.70000000000005</v>
      </c>
      <c r="AR31" s="345">
        <v>528.6</v>
      </c>
      <c r="AS31" s="465"/>
      <c r="AU31" s="448">
        <v>26</v>
      </c>
      <c r="AV31" s="455">
        <v>6766</v>
      </c>
      <c r="AW31" s="450" t="s">
        <v>28</v>
      </c>
      <c r="AX31" s="451">
        <v>867.15</v>
      </c>
      <c r="AY31" s="452">
        <v>635.35</v>
      </c>
      <c r="AZ31" s="453">
        <v>553.70000000000005</v>
      </c>
      <c r="BA31" s="345">
        <v>528.6</v>
      </c>
      <c r="BB31" s="465"/>
      <c r="BD31" s="448">
        <v>26</v>
      </c>
      <c r="BE31" s="455">
        <v>6766</v>
      </c>
      <c r="BF31" s="450" t="s">
        <v>28</v>
      </c>
      <c r="BG31" s="451">
        <v>867.15</v>
      </c>
      <c r="BH31" s="452">
        <v>635.35</v>
      </c>
      <c r="BI31" s="453">
        <v>553.70000000000005</v>
      </c>
      <c r="BJ31" s="345">
        <v>528.6</v>
      </c>
      <c r="BK31" s="465"/>
    </row>
    <row r="32" spans="2:63" x14ac:dyDescent="0.2">
      <c r="B32" s="344">
        <v>27</v>
      </c>
      <c r="C32" s="455">
        <v>5275</v>
      </c>
      <c r="D32" s="450" t="s">
        <v>212</v>
      </c>
      <c r="E32" s="451">
        <v>913.3</v>
      </c>
      <c r="F32" s="452">
        <v>651</v>
      </c>
      <c r="G32" s="453">
        <v>557.35</v>
      </c>
      <c r="H32" s="345">
        <v>532.15</v>
      </c>
      <c r="I32" s="465"/>
      <c r="K32" s="344">
        <v>27</v>
      </c>
      <c r="L32" s="455">
        <v>5275</v>
      </c>
      <c r="M32" s="450" t="s">
        <v>212</v>
      </c>
      <c r="N32" s="451">
        <v>913.3</v>
      </c>
      <c r="O32" s="452">
        <v>651</v>
      </c>
      <c r="P32" s="453">
        <v>557.35</v>
      </c>
      <c r="Q32" s="345">
        <v>532.15</v>
      </c>
      <c r="R32" s="465"/>
      <c r="T32" s="344">
        <v>27</v>
      </c>
      <c r="U32" s="455">
        <v>5275</v>
      </c>
      <c r="V32" s="450" t="s">
        <v>212</v>
      </c>
      <c r="W32" s="451">
        <v>913.3</v>
      </c>
      <c r="X32" s="452">
        <v>651</v>
      </c>
      <c r="Y32" s="453">
        <v>557.35</v>
      </c>
      <c r="Z32" s="345">
        <v>532.15</v>
      </c>
      <c r="AA32" s="465"/>
      <c r="AC32" s="344">
        <v>27</v>
      </c>
      <c r="AD32" s="455">
        <v>5275</v>
      </c>
      <c r="AE32" s="450" t="s">
        <v>212</v>
      </c>
      <c r="AF32" s="451">
        <v>913.3</v>
      </c>
      <c r="AG32" s="452">
        <v>651</v>
      </c>
      <c r="AH32" s="453">
        <v>557.35</v>
      </c>
      <c r="AI32" s="345">
        <v>532.15</v>
      </c>
      <c r="AJ32" s="465"/>
      <c r="AL32" s="344">
        <v>27</v>
      </c>
      <c r="AM32" s="455">
        <v>5275</v>
      </c>
      <c r="AN32" s="450" t="s">
        <v>212</v>
      </c>
      <c r="AO32" s="451">
        <v>913.3</v>
      </c>
      <c r="AP32" s="452">
        <v>651</v>
      </c>
      <c r="AQ32" s="453">
        <v>557.35</v>
      </c>
      <c r="AR32" s="345">
        <v>532.15</v>
      </c>
      <c r="AS32" s="465"/>
      <c r="AU32" s="344">
        <v>27</v>
      </c>
      <c r="AV32" s="455">
        <v>5275</v>
      </c>
      <c r="AW32" s="450" t="s">
        <v>212</v>
      </c>
      <c r="AX32" s="451">
        <v>913.3</v>
      </c>
      <c r="AY32" s="452">
        <v>651</v>
      </c>
      <c r="AZ32" s="453">
        <v>557.35</v>
      </c>
      <c r="BA32" s="345">
        <v>532.15</v>
      </c>
      <c r="BB32" s="465"/>
      <c r="BD32" s="344">
        <v>27</v>
      </c>
      <c r="BE32" s="455">
        <v>5275</v>
      </c>
      <c r="BF32" s="450" t="s">
        <v>212</v>
      </c>
      <c r="BG32" s="451">
        <v>913.3</v>
      </c>
      <c r="BH32" s="452">
        <v>651</v>
      </c>
      <c r="BI32" s="453">
        <v>557.35</v>
      </c>
      <c r="BJ32" s="345">
        <v>532.15</v>
      </c>
      <c r="BK32" s="465"/>
    </row>
    <row r="33" spans="2:63" x14ac:dyDescent="0.2">
      <c r="B33" s="448">
        <v>28</v>
      </c>
      <c r="C33" s="455">
        <v>131</v>
      </c>
      <c r="D33" s="450" t="s">
        <v>23</v>
      </c>
      <c r="E33" s="451">
        <v>884</v>
      </c>
      <c r="F33" s="452">
        <v>643.75</v>
      </c>
      <c r="G33" s="453">
        <v>561.54999999999995</v>
      </c>
      <c r="H33" s="345">
        <v>542.35</v>
      </c>
      <c r="I33" s="465"/>
      <c r="K33" s="448">
        <v>28</v>
      </c>
      <c r="L33" s="455">
        <v>131</v>
      </c>
      <c r="M33" s="450" t="s">
        <v>23</v>
      </c>
      <c r="N33" s="451">
        <v>884</v>
      </c>
      <c r="O33" s="452">
        <v>643.75</v>
      </c>
      <c r="P33" s="453">
        <v>561.54999999999995</v>
      </c>
      <c r="Q33" s="345">
        <v>542.35</v>
      </c>
      <c r="R33" s="465"/>
      <c r="T33" s="448">
        <v>28</v>
      </c>
      <c r="U33" s="455">
        <v>131</v>
      </c>
      <c r="V33" s="450" t="s">
        <v>23</v>
      </c>
      <c r="W33" s="451">
        <v>884</v>
      </c>
      <c r="X33" s="452">
        <v>643.75</v>
      </c>
      <c r="Y33" s="453">
        <v>561.54999999999995</v>
      </c>
      <c r="Z33" s="345">
        <v>542.35</v>
      </c>
      <c r="AA33" s="465"/>
      <c r="AC33" s="448">
        <v>28</v>
      </c>
      <c r="AD33" s="455">
        <v>131</v>
      </c>
      <c r="AE33" s="450" t="s">
        <v>23</v>
      </c>
      <c r="AF33" s="451">
        <v>884</v>
      </c>
      <c r="AG33" s="452">
        <v>643.75</v>
      </c>
      <c r="AH33" s="453">
        <v>561.54999999999995</v>
      </c>
      <c r="AI33" s="345">
        <v>542.35</v>
      </c>
      <c r="AJ33" s="465"/>
      <c r="AL33" s="448">
        <v>28</v>
      </c>
      <c r="AM33" s="455">
        <v>131</v>
      </c>
      <c r="AN33" s="450" t="s">
        <v>23</v>
      </c>
      <c r="AO33" s="451">
        <v>884</v>
      </c>
      <c r="AP33" s="452">
        <v>643.75</v>
      </c>
      <c r="AQ33" s="453">
        <v>561.54999999999995</v>
      </c>
      <c r="AR33" s="345">
        <v>542.35</v>
      </c>
      <c r="AS33" s="465"/>
      <c r="AU33" s="448">
        <v>28</v>
      </c>
      <c r="AV33" s="455">
        <v>131</v>
      </c>
      <c r="AW33" s="450" t="s">
        <v>23</v>
      </c>
      <c r="AX33" s="451">
        <v>884</v>
      </c>
      <c r="AY33" s="452">
        <v>643.75</v>
      </c>
      <c r="AZ33" s="453">
        <v>561.54999999999995</v>
      </c>
      <c r="BA33" s="345">
        <v>542.35</v>
      </c>
      <c r="BB33" s="465"/>
      <c r="BD33" s="448">
        <v>28</v>
      </c>
      <c r="BE33" s="455">
        <v>131</v>
      </c>
      <c r="BF33" s="450" t="s">
        <v>23</v>
      </c>
      <c r="BG33" s="451">
        <v>884</v>
      </c>
      <c r="BH33" s="452">
        <v>643.75</v>
      </c>
      <c r="BI33" s="453">
        <v>561.54999999999995</v>
      </c>
      <c r="BJ33" s="345">
        <v>542.35</v>
      </c>
      <c r="BK33" s="465"/>
    </row>
    <row r="34" spans="2:63" x14ac:dyDescent="0.2">
      <c r="B34" s="344">
        <v>29</v>
      </c>
      <c r="C34" s="455">
        <v>1611</v>
      </c>
      <c r="D34" s="450" t="s">
        <v>210</v>
      </c>
      <c r="E34" s="451">
        <v>921.65</v>
      </c>
      <c r="F34" s="452">
        <v>657.9</v>
      </c>
      <c r="G34" s="453">
        <v>561.54999999999995</v>
      </c>
      <c r="H34" s="345">
        <v>540.29999999999995</v>
      </c>
      <c r="I34" s="465"/>
      <c r="K34" s="344">
        <v>29</v>
      </c>
      <c r="L34" s="455">
        <v>1611</v>
      </c>
      <c r="M34" s="450" t="s">
        <v>210</v>
      </c>
      <c r="N34" s="451">
        <v>921.65</v>
      </c>
      <c r="O34" s="452">
        <v>657.9</v>
      </c>
      <c r="P34" s="453">
        <v>561.54999999999995</v>
      </c>
      <c r="Q34" s="345">
        <v>540.29999999999995</v>
      </c>
      <c r="R34" s="465"/>
      <c r="T34" s="344">
        <v>29</v>
      </c>
      <c r="U34" s="455">
        <v>1611</v>
      </c>
      <c r="V34" s="450" t="s">
        <v>210</v>
      </c>
      <c r="W34" s="451">
        <v>921.65</v>
      </c>
      <c r="X34" s="452">
        <v>657.9</v>
      </c>
      <c r="Y34" s="453">
        <v>561.54999999999995</v>
      </c>
      <c r="Z34" s="345">
        <v>540.29999999999995</v>
      </c>
      <c r="AA34" s="465"/>
      <c r="AC34" s="344">
        <v>29</v>
      </c>
      <c r="AD34" s="455">
        <v>1611</v>
      </c>
      <c r="AE34" s="450" t="s">
        <v>210</v>
      </c>
      <c r="AF34" s="451">
        <v>921.65</v>
      </c>
      <c r="AG34" s="452">
        <v>657.9</v>
      </c>
      <c r="AH34" s="453">
        <v>561.54999999999995</v>
      </c>
      <c r="AI34" s="345">
        <v>540.29999999999995</v>
      </c>
      <c r="AJ34" s="465"/>
      <c r="AL34" s="344">
        <v>29</v>
      </c>
      <c r="AM34" s="455">
        <v>1611</v>
      </c>
      <c r="AN34" s="450" t="s">
        <v>210</v>
      </c>
      <c r="AO34" s="451">
        <v>921.65</v>
      </c>
      <c r="AP34" s="452">
        <v>657.9</v>
      </c>
      <c r="AQ34" s="453">
        <v>561.54999999999995</v>
      </c>
      <c r="AR34" s="345">
        <v>540.29999999999995</v>
      </c>
      <c r="AS34" s="465"/>
      <c r="AU34" s="344">
        <v>29</v>
      </c>
      <c r="AV34" s="455">
        <v>1611</v>
      </c>
      <c r="AW34" s="450" t="s">
        <v>210</v>
      </c>
      <c r="AX34" s="451">
        <v>921.65</v>
      </c>
      <c r="AY34" s="452">
        <v>657.9</v>
      </c>
      <c r="AZ34" s="453">
        <v>561.54999999999995</v>
      </c>
      <c r="BA34" s="345">
        <v>540.29999999999995</v>
      </c>
      <c r="BB34" s="465"/>
      <c r="BD34" s="344">
        <v>29</v>
      </c>
      <c r="BE34" s="455">
        <v>1611</v>
      </c>
      <c r="BF34" s="450" t="s">
        <v>210</v>
      </c>
      <c r="BG34" s="451">
        <v>921.65</v>
      </c>
      <c r="BH34" s="452">
        <v>657.9</v>
      </c>
      <c r="BI34" s="453">
        <v>561.54999999999995</v>
      </c>
      <c r="BJ34" s="345">
        <v>540.29999999999995</v>
      </c>
      <c r="BK34" s="465"/>
    </row>
    <row r="35" spans="2:63" x14ac:dyDescent="0.2">
      <c r="B35" s="448">
        <v>30</v>
      </c>
      <c r="C35" s="455">
        <v>312</v>
      </c>
      <c r="D35" s="450" t="s">
        <v>25</v>
      </c>
      <c r="E35" s="451">
        <v>896.25</v>
      </c>
      <c r="F35" s="452">
        <v>650.25</v>
      </c>
      <c r="G35" s="453">
        <v>563.54999999999995</v>
      </c>
      <c r="H35" s="345">
        <v>541</v>
      </c>
      <c r="I35" s="465"/>
      <c r="K35" s="448">
        <v>30</v>
      </c>
      <c r="L35" s="455">
        <v>312</v>
      </c>
      <c r="M35" s="450" t="s">
        <v>25</v>
      </c>
      <c r="N35" s="451">
        <v>896.25</v>
      </c>
      <c r="O35" s="452">
        <v>650.25</v>
      </c>
      <c r="P35" s="453">
        <v>563.54999999999995</v>
      </c>
      <c r="Q35" s="345">
        <v>541</v>
      </c>
      <c r="R35" s="465"/>
      <c r="T35" s="448">
        <v>30</v>
      </c>
      <c r="U35" s="455">
        <v>312</v>
      </c>
      <c r="V35" s="450" t="s">
        <v>25</v>
      </c>
      <c r="W35" s="451">
        <v>896.25</v>
      </c>
      <c r="X35" s="452">
        <v>650.25</v>
      </c>
      <c r="Y35" s="453">
        <v>563.54999999999995</v>
      </c>
      <c r="Z35" s="345">
        <v>541</v>
      </c>
      <c r="AA35" s="465"/>
      <c r="AC35" s="448">
        <v>30</v>
      </c>
      <c r="AD35" s="455">
        <v>312</v>
      </c>
      <c r="AE35" s="450" t="s">
        <v>25</v>
      </c>
      <c r="AF35" s="451">
        <v>896.25</v>
      </c>
      <c r="AG35" s="452">
        <v>650.25</v>
      </c>
      <c r="AH35" s="453">
        <v>563.54999999999995</v>
      </c>
      <c r="AI35" s="345">
        <v>541</v>
      </c>
      <c r="AJ35" s="465"/>
      <c r="AL35" s="448">
        <v>30</v>
      </c>
      <c r="AM35" s="455">
        <v>312</v>
      </c>
      <c r="AN35" s="450" t="s">
        <v>25</v>
      </c>
      <c r="AO35" s="451">
        <v>896.25</v>
      </c>
      <c r="AP35" s="452">
        <v>650.25</v>
      </c>
      <c r="AQ35" s="453">
        <v>563.54999999999995</v>
      </c>
      <c r="AR35" s="345">
        <v>541</v>
      </c>
      <c r="AS35" s="465"/>
      <c r="AU35" s="448">
        <v>30</v>
      </c>
      <c r="AV35" s="455">
        <v>312</v>
      </c>
      <c r="AW35" s="450" t="s">
        <v>25</v>
      </c>
      <c r="AX35" s="451">
        <v>896.25</v>
      </c>
      <c r="AY35" s="452">
        <v>650.25</v>
      </c>
      <c r="AZ35" s="453">
        <v>563.54999999999995</v>
      </c>
      <c r="BA35" s="345">
        <v>541</v>
      </c>
      <c r="BB35" s="465"/>
      <c r="BD35" s="448">
        <v>30</v>
      </c>
      <c r="BE35" s="455">
        <v>312</v>
      </c>
      <c r="BF35" s="450" t="s">
        <v>25</v>
      </c>
      <c r="BG35" s="451">
        <v>896.25</v>
      </c>
      <c r="BH35" s="452">
        <v>650.25</v>
      </c>
      <c r="BI35" s="453">
        <v>563.54999999999995</v>
      </c>
      <c r="BJ35" s="345">
        <v>541</v>
      </c>
      <c r="BK35" s="465"/>
    </row>
    <row r="36" spans="2:63" x14ac:dyDescent="0.2">
      <c r="B36" s="344">
        <v>31</v>
      </c>
      <c r="C36" s="455">
        <v>5537</v>
      </c>
      <c r="D36" s="450" t="s">
        <v>231</v>
      </c>
      <c r="E36" s="451">
        <v>896.05</v>
      </c>
      <c r="F36" s="452">
        <v>653</v>
      </c>
      <c r="G36" s="453">
        <v>564.20000000000005</v>
      </c>
      <c r="H36" s="345">
        <v>538.6</v>
      </c>
      <c r="I36" s="465"/>
      <c r="K36" s="344">
        <v>31</v>
      </c>
      <c r="L36" s="455">
        <v>5537</v>
      </c>
      <c r="M36" s="450" t="s">
        <v>231</v>
      </c>
      <c r="N36" s="451">
        <v>896.05</v>
      </c>
      <c r="O36" s="452">
        <v>653</v>
      </c>
      <c r="P36" s="453">
        <v>564.20000000000005</v>
      </c>
      <c r="Q36" s="345">
        <v>538.6</v>
      </c>
      <c r="R36" s="465"/>
      <c r="T36" s="344">
        <v>31</v>
      </c>
      <c r="U36" s="455">
        <v>5537</v>
      </c>
      <c r="V36" s="450" t="s">
        <v>231</v>
      </c>
      <c r="W36" s="451">
        <v>896.05</v>
      </c>
      <c r="X36" s="452">
        <v>653</v>
      </c>
      <c r="Y36" s="453">
        <v>564.20000000000005</v>
      </c>
      <c r="Z36" s="345">
        <v>538.6</v>
      </c>
      <c r="AA36" s="465"/>
      <c r="AC36" s="344">
        <v>31</v>
      </c>
      <c r="AD36" s="455">
        <v>5537</v>
      </c>
      <c r="AE36" s="450" t="s">
        <v>231</v>
      </c>
      <c r="AF36" s="451">
        <v>896.05</v>
      </c>
      <c r="AG36" s="452">
        <v>653</v>
      </c>
      <c r="AH36" s="453">
        <v>564.20000000000005</v>
      </c>
      <c r="AI36" s="345">
        <v>538.6</v>
      </c>
      <c r="AJ36" s="465"/>
      <c r="AL36" s="344">
        <v>31</v>
      </c>
      <c r="AM36" s="455">
        <v>5537</v>
      </c>
      <c r="AN36" s="450" t="s">
        <v>231</v>
      </c>
      <c r="AO36" s="451">
        <v>896.05</v>
      </c>
      <c r="AP36" s="452">
        <v>653</v>
      </c>
      <c r="AQ36" s="453">
        <v>564.20000000000005</v>
      </c>
      <c r="AR36" s="345">
        <v>538.6</v>
      </c>
      <c r="AS36" s="465"/>
      <c r="AU36" s="344">
        <v>31</v>
      </c>
      <c r="AV36" s="455">
        <v>5537</v>
      </c>
      <c r="AW36" s="450" t="s">
        <v>231</v>
      </c>
      <c r="AX36" s="451">
        <v>896.05</v>
      </c>
      <c r="AY36" s="452">
        <v>653</v>
      </c>
      <c r="AZ36" s="453">
        <v>564.20000000000005</v>
      </c>
      <c r="BA36" s="345">
        <v>538.6</v>
      </c>
      <c r="BB36" s="465"/>
      <c r="BD36" s="344">
        <v>31</v>
      </c>
      <c r="BE36" s="455">
        <v>5537</v>
      </c>
      <c r="BF36" s="450" t="s">
        <v>231</v>
      </c>
      <c r="BG36" s="451">
        <v>896.05</v>
      </c>
      <c r="BH36" s="452">
        <v>653</v>
      </c>
      <c r="BI36" s="453">
        <v>564.20000000000005</v>
      </c>
      <c r="BJ36" s="345">
        <v>538.6</v>
      </c>
      <c r="BK36" s="465"/>
    </row>
    <row r="37" spans="2:63" x14ac:dyDescent="0.2">
      <c r="B37" s="448">
        <v>32</v>
      </c>
      <c r="C37" s="455">
        <v>7177</v>
      </c>
      <c r="D37" s="450" t="s">
        <v>232</v>
      </c>
      <c r="E37" s="451">
        <v>920.75</v>
      </c>
      <c r="F37" s="452">
        <v>661.75</v>
      </c>
      <c r="G37" s="453">
        <v>570.9</v>
      </c>
      <c r="H37" s="345">
        <v>547.9</v>
      </c>
      <c r="I37" s="465"/>
      <c r="K37" s="448">
        <v>32</v>
      </c>
      <c r="L37" s="455">
        <v>7177</v>
      </c>
      <c r="M37" s="450" t="s">
        <v>232</v>
      </c>
      <c r="N37" s="451">
        <v>920.75</v>
      </c>
      <c r="O37" s="452">
        <v>661.75</v>
      </c>
      <c r="P37" s="453">
        <v>570.9</v>
      </c>
      <c r="Q37" s="345">
        <v>547.9</v>
      </c>
      <c r="R37" s="465"/>
      <c r="T37" s="448">
        <v>32</v>
      </c>
      <c r="U37" s="455">
        <v>7177</v>
      </c>
      <c r="V37" s="450" t="s">
        <v>232</v>
      </c>
      <c r="W37" s="451">
        <v>920.75</v>
      </c>
      <c r="X37" s="452">
        <v>661.75</v>
      </c>
      <c r="Y37" s="453">
        <v>570.9</v>
      </c>
      <c r="Z37" s="345">
        <v>547.9</v>
      </c>
      <c r="AA37" s="465"/>
      <c r="AC37" s="448">
        <v>32</v>
      </c>
      <c r="AD37" s="455">
        <v>7177</v>
      </c>
      <c r="AE37" s="450" t="s">
        <v>232</v>
      </c>
      <c r="AF37" s="451">
        <v>920.75</v>
      </c>
      <c r="AG37" s="452">
        <v>661.75</v>
      </c>
      <c r="AH37" s="453">
        <v>570.9</v>
      </c>
      <c r="AI37" s="345">
        <v>547.9</v>
      </c>
      <c r="AJ37" s="465"/>
      <c r="AL37" s="448">
        <v>32</v>
      </c>
      <c r="AM37" s="455">
        <v>7177</v>
      </c>
      <c r="AN37" s="450" t="s">
        <v>232</v>
      </c>
      <c r="AO37" s="451">
        <v>920.75</v>
      </c>
      <c r="AP37" s="452">
        <v>661.75</v>
      </c>
      <c r="AQ37" s="453">
        <v>570.9</v>
      </c>
      <c r="AR37" s="345">
        <v>547.9</v>
      </c>
      <c r="AS37" s="465"/>
      <c r="AU37" s="448">
        <v>32</v>
      </c>
      <c r="AV37" s="455">
        <v>7177</v>
      </c>
      <c r="AW37" s="450" t="s">
        <v>232</v>
      </c>
      <c r="AX37" s="451">
        <v>920.75</v>
      </c>
      <c r="AY37" s="452">
        <v>661.75</v>
      </c>
      <c r="AZ37" s="453">
        <v>570.9</v>
      </c>
      <c r="BA37" s="345">
        <v>547.9</v>
      </c>
      <c r="BB37" s="465"/>
      <c r="BD37" s="448">
        <v>32</v>
      </c>
      <c r="BE37" s="455">
        <v>7177</v>
      </c>
      <c r="BF37" s="450" t="s">
        <v>232</v>
      </c>
      <c r="BG37" s="451">
        <v>920.75</v>
      </c>
      <c r="BH37" s="452">
        <v>661.75</v>
      </c>
      <c r="BI37" s="453">
        <v>570.9</v>
      </c>
      <c r="BJ37" s="345">
        <v>547.9</v>
      </c>
      <c r="BK37" s="465"/>
    </row>
    <row r="38" spans="2:63" x14ac:dyDescent="0.2">
      <c r="B38" s="344">
        <v>33</v>
      </c>
      <c r="C38" s="455">
        <v>4832</v>
      </c>
      <c r="D38" s="450" t="s">
        <v>130</v>
      </c>
      <c r="E38" s="451">
        <v>881.9</v>
      </c>
      <c r="F38" s="452">
        <v>653.65</v>
      </c>
      <c r="G38" s="453">
        <v>571.29999999999995</v>
      </c>
      <c r="H38" s="345">
        <v>546.45000000000005</v>
      </c>
      <c r="I38" s="465"/>
      <c r="K38" s="344">
        <v>33</v>
      </c>
      <c r="L38" s="455">
        <v>4832</v>
      </c>
      <c r="M38" s="450" t="s">
        <v>130</v>
      </c>
      <c r="N38" s="451">
        <v>881.9</v>
      </c>
      <c r="O38" s="452">
        <v>653.65</v>
      </c>
      <c r="P38" s="453">
        <v>571.29999999999995</v>
      </c>
      <c r="Q38" s="345">
        <v>546.45000000000005</v>
      </c>
      <c r="R38" s="465"/>
      <c r="T38" s="344">
        <v>33</v>
      </c>
      <c r="U38" s="455">
        <v>4832</v>
      </c>
      <c r="V38" s="450" t="s">
        <v>130</v>
      </c>
      <c r="W38" s="451">
        <v>881.9</v>
      </c>
      <c r="X38" s="452">
        <v>653.65</v>
      </c>
      <c r="Y38" s="453">
        <v>571.29999999999995</v>
      </c>
      <c r="Z38" s="345">
        <v>546.45000000000005</v>
      </c>
      <c r="AA38" s="465"/>
      <c r="AC38" s="344">
        <v>33</v>
      </c>
      <c r="AD38" s="455">
        <v>4832</v>
      </c>
      <c r="AE38" s="450" t="s">
        <v>130</v>
      </c>
      <c r="AF38" s="451">
        <v>881.9</v>
      </c>
      <c r="AG38" s="452">
        <v>653.65</v>
      </c>
      <c r="AH38" s="453">
        <v>571.29999999999995</v>
      </c>
      <c r="AI38" s="345">
        <v>546.45000000000005</v>
      </c>
      <c r="AJ38" s="465"/>
      <c r="AL38" s="344">
        <v>33</v>
      </c>
      <c r="AM38" s="455">
        <v>4832</v>
      </c>
      <c r="AN38" s="450" t="s">
        <v>130</v>
      </c>
      <c r="AO38" s="451">
        <v>881.9</v>
      </c>
      <c r="AP38" s="452">
        <v>653.65</v>
      </c>
      <c r="AQ38" s="453">
        <v>571.29999999999995</v>
      </c>
      <c r="AR38" s="345">
        <v>546.45000000000005</v>
      </c>
      <c r="AS38" s="465"/>
      <c r="AU38" s="344">
        <v>33</v>
      </c>
      <c r="AV38" s="455">
        <v>4832</v>
      </c>
      <c r="AW38" s="450" t="s">
        <v>130</v>
      </c>
      <c r="AX38" s="451">
        <v>881.9</v>
      </c>
      <c r="AY38" s="452">
        <v>653.65</v>
      </c>
      <c r="AZ38" s="453">
        <v>571.29999999999995</v>
      </c>
      <c r="BA38" s="345">
        <v>546.45000000000005</v>
      </c>
      <c r="BB38" s="465"/>
      <c r="BD38" s="344">
        <v>33</v>
      </c>
      <c r="BE38" s="455">
        <v>4832</v>
      </c>
      <c r="BF38" s="450" t="s">
        <v>130</v>
      </c>
      <c r="BG38" s="451">
        <v>881.9</v>
      </c>
      <c r="BH38" s="452">
        <v>653.65</v>
      </c>
      <c r="BI38" s="453">
        <v>571.29999999999995</v>
      </c>
      <c r="BJ38" s="345">
        <v>546.45000000000005</v>
      </c>
      <c r="BK38" s="465"/>
    </row>
    <row r="39" spans="2:63" x14ac:dyDescent="0.2">
      <c r="B39" s="448">
        <v>34</v>
      </c>
      <c r="C39" s="455">
        <v>4020</v>
      </c>
      <c r="D39" s="450" t="s">
        <v>222</v>
      </c>
      <c r="E39" s="451">
        <v>886.2</v>
      </c>
      <c r="F39" s="452">
        <v>661.15</v>
      </c>
      <c r="G39" s="453">
        <v>578.5</v>
      </c>
      <c r="H39" s="345">
        <v>555.15</v>
      </c>
      <c r="I39" s="465"/>
      <c r="K39" s="448">
        <v>34</v>
      </c>
      <c r="L39" s="455">
        <v>4020</v>
      </c>
      <c r="M39" s="450" t="s">
        <v>222</v>
      </c>
      <c r="N39" s="451">
        <v>886.2</v>
      </c>
      <c r="O39" s="452">
        <v>661.15</v>
      </c>
      <c r="P39" s="453">
        <v>578.5</v>
      </c>
      <c r="Q39" s="345">
        <v>555.15</v>
      </c>
      <c r="R39" s="465"/>
      <c r="T39" s="448">
        <v>34</v>
      </c>
      <c r="U39" s="455">
        <v>4020</v>
      </c>
      <c r="V39" s="450" t="s">
        <v>222</v>
      </c>
      <c r="W39" s="451">
        <v>886.2</v>
      </c>
      <c r="X39" s="452">
        <v>661.15</v>
      </c>
      <c r="Y39" s="453">
        <v>578.5</v>
      </c>
      <c r="Z39" s="345">
        <v>555.15</v>
      </c>
      <c r="AA39" s="465"/>
      <c r="AC39" s="448">
        <v>34</v>
      </c>
      <c r="AD39" s="455">
        <v>4020</v>
      </c>
      <c r="AE39" s="450" t="s">
        <v>222</v>
      </c>
      <c r="AF39" s="451">
        <v>886.2</v>
      </c>
      <c r="AG39" s="452">
        <v>661.15</v>
      </c>
      <c r="AH39" s="453">
        <v>578.5</v>
      </c>
      <c r="AI39" s="345">
        <v>555.15</v>
      </c>
      <c r="AJ39" s="465"/>
      <c r="AL39" s="448">
        <v>34</v>
      </c>
      <c r="AM39" s="455">
        <v>4020</v>
      </c>
      <c r="AN39" s="450" t="s">
        <v>222</v>
      </c>
      <c r="AO39" s="451">
        <v>886.2</v>
      </c>
      <c r="AP39" s="452">
        <v>661.15</v>
      </c>
      <c r="AQ39" s="453">
        <v>578.5</v>
      </c>
      <c r="AR39" s="345">
        <v>555.15</v>
      </c>
      <c r="AS39" s="465"/>
      <c r="AU39" s="448">
        <v>34</v>
      </c>
      <c r="AV39" s="455">
        <v>4020</v>
      </c>
      <c r="AW39" s="450" t="s">
        <v>222</v>
      </c>
      <c r="AX39" s="451">
        <v>886.2</v>
      </c>
      <c r="AY39" s="452">
        <v>661.15</v>
      </c>
      <c r="AZ39" s="453">
        <v>578.5</v>
      </c>
      <c r="BA39" s="345">
        <v>555.15</v>
      </c>
      <c r="BB39" s="465"/>
      <c r="BD39" s="448">
        <v>34</v>
      </c>
      <c r="BE39" s="455">
        <v>4020</v>
      </c>
      <c r="BF39" s="450" t="s">
        <v>222</v>
      </c>
      <c r="BG39" s="451">
        <v>886.2</v>
      </c>
      <c r="BH39" s="452">
        <v>661.15</v>
      </c>
      <c r="BI39" s="453">
        <v>578.5</v>
      </c>
      <c r="BJ39" s="345">
        <v>555.15</v>
      </c>
      <c r="BK39" s="465"/>
    </row>
    <row r="40" spans="2:63" x14ac:dyDescent="0.2">
      <c r="B40" s="344">
        <v>35</v>
      </c>
      <c r="C40" s="455">
        <v>7014</v>
      </c>
      <c r="D40" s="450" t="s">
        <v>223</v>
      </c>
      <c r="E40" s="451">
        <v>993.75</v>
      </c>
      <c r="F40" s="452">
        <v>701.2</v>
      </c>
      <c r="G40" s="453">
        <v>581.85</v>
      </c>
      <c r="H40" s="345">
        <v>555.95000000000005</v>
      </c>
      <c r="I40" s="465"/>
      <c r="K40" s="344">
        <v>35</v>
      </c>
      <c r="L40" s="455">
        <v>7014</v>
      </c>
      <c r="M40" s="450" t="s">
        <v>223</v>
      </c>
      <c r="N40" s="451">
        <v>993.75</v>
      </c>
      <c r="O40" s="452">
        <v>701.2</v>
      </c>
      <c r="P40" s="453">
        <v>581.85</v>
      </c>
      <c r="Q40" s="345">
        <v>555.95000000000005</v>
      </c>
      <c r="R40" s="465"/>
      <c r="T40" s="344">
        <v>35</v>
      </c>
      <c r="U40" s="455">
        <v>7014</v>
      </c>
      <c r="V40" s="450" t="s">
        <v>223</v>
      </c>
      <c r="W40" s="451">
        <v>993.75</v>
      </c>
      <c r="X40" s="452">
        <v>701.2</v>
      </c>
      <c r="Y40" s="453">
        <v>581.85</v>
      </c>
      <c r="Z40" s="345">
        <v>555.95000000000005</v>
      </c>
      <c r="AA40" s="465"/>
      <c r="AC40" s="344">
        <v>35</v>
      </c>
      <c r="AD40" s="455">
        <v>7014</v>
      </c>
      <c r="AE40" s="450" t="s">
        <v>223</v>
      </c>
      <c r="AF40" s="451">
        <v>993.75</v>
      </c>
      <c r="AG40" s="452">
        <v>701.2</v>
      </c>
      <c r="AH40" s="453">
        <v>581.85</v>
      </c>
      <c r="AI40" s="345">
        <v>555.95000000000005</v>
      </c>
      <c r="AJ40" s="465"/>
      <c r="AL40" s="344">
        <v>35</v>
      </c>
      <c r="AM40" s="455">
        <v>7014</v>
      </c>
      <c r="AN40" s="450" t="s">
        <v>223</v>
      </c>
      <c r="AO40" s="451">
        <v>993.75</v>
      </c>
      <c r="AP40" s="452">
        <v>701.2</v>
      </c>
      <c r="AQ40" s="453">
        <v>581.85</v>
      </c>
      <c r="AR40" s="345">
        <v>555.95000000000005</v>
      </c>
      <c r="AS40" s="465"/>
      <c r="AU40" s="344">
        <v>35</v>
      </c>
      <c r="AV40" s="455">
        <v>7014</v>
      </c>
      <c r="AW40" s="450" t="s">
        <v>223</v>
      </c>
      <c r="AX40" s="451">
        <v>993.75</v>
      </c>
      <c r="AY40" s="452">
        <v>701.2</v>
      </c>
      <c r="AZ40" s="453">
        <v>581.85</v>
      </c>
      <c r="BA40" s="345">
        <v>555.95000000000005</v>
      </c>
      <c r="BB40" s="465"/>
      <c r="BD40" s="344">
        <v>35</v>
      </c>
      <c r="BE40" s="455">
        <v>7014</v>
      </c>
      <c r="BF40" s="450" t="s">
        <v>223</v>
      </c>
      <c r="BG40" s="451">
        <v>993.75</v>
      </c>
      <c r="BH40" s="452">
        <v>701.2</v>
      </c>
      <c r="BI40" s="453">
        <v>581.85</v>
      </c>
      <c r="BJ40" s="345">
        <v>555.95000000000005</v>
      </c>
      <c r="BK40" s="465"/>
    </row>
    <row r="41" spans="2:63" x14ac:dyDescent="0.2">
      <c r="B41" s="448">
        <v>36</v>
      </c>
      <c r="C41" s="455">
        <v>6934</v>
      </c>
      <c r="D41" s="450" t="s">
        <v>199</v>
      </c>
      <c r="E41" s="451">
        <v>975.93299999999999</v>
      </c>
      <c r="F41" s="452">
        <v>701.1</v>
      </c>
      <c r="G41" s="453">
        <v>597.87525000000005</v>
      </c>
      <c r="H41" s="345">
        <v>566.577</v>
      </c>
      <c r="I41" s="465" t="s">
        <v>259</v>
      </c>
      <c r="K41" s="448">
        <v>36</v>
      </c>
      <c r="L41" s="455">
        <v>6934</v>
      </c>
      <c r="M41" s="450" t="s">
        <v>199</v>
      </c>
      <c r="N41" s="451">
        <v>975.93299999999999</v>
      </c>
      <c r="O41" s="452">
        <v>701.1</v>
      </c>
      <c r="P41" s="453">
        <v>597.87525000000005</v>
      </c>
      <c r="Q41" s="345">
        <v>566.577</v>
      </c>
      <c r="R41" s="465" t="s">
        <v>259</v>
      </c>
      <c r="T41" s="448">
        <v>36</v>
      </c>
      <c r="U41" s="455">
        <v>6934</v>
      </c>
      <c r="V41" s="450" t="s">
        <v>199</v>
      </c>
      <c r="W41" s="451">
        <v>975.93299999999999</v>
      </c>
      <c r="X41" s="452">
        <v>701.1</v>
      </c>
      <c r="Y41" s="453">
        <v>597.87525000000005</v>
      </c>
      <c r="Z41" s="345">
        <v>566.577</v>
      </c>
      <c r="AA41" s="465" t="s">
        <v>259</v>
      </c>
      <c r="AC41" s="448">
        <v>36</v>
      </c>
      <c r="AD41" s="455">
        <v>6934</v>
      </c>
      <c r="AE41" s="450" t="s">
        <v>199</v>
      </c>
      <c r="AF41" s="451">
        <v>975.93299999999999</v>
      </c>
      <c r="AG41" s="452">
        <v>701.1</v>
      </c>
      <c r="AH41" s="453">
        <v>597.87525000000005</v>
      </c>
      <c r="AI41" s="345">
        <v>566.577</v>
      </c>
      <c r="AJ41" s="465" t="s">
        <v>259</v>
      </c>
      <c r="AL41" s="448">
        <v>36</v>
      </c>
      <c r="AM41" s="455">
        <v>6934</v>
      </c>
      <c r="AN41" s="450" t="s">
        <v>199</v>
      </c>
      <c r="AO41" s="451">
        <v>975.93299999999999</v>
      </c>
      <c r="AP41" s="452">
        <v>701.1</v>
      </c>
      <c r="AQ41" s="453">
        <v>597.87525000000005</v>
      </c>
      <c r="AR41" s="345">
        <v>566.577</v>
      </c>
      <c r="AS41" s="465" t="s">
        <v>259</v>
      </c>
      <c r="AU41" s="448">
        <v>36</v>
      </c>
      <c r="AV41" s="455">
        <v>6934</v>
      </c>
      <c r="AW41" s="450" t="s">
        <v>199</v>
      </c>
      <c r="AX41" s="451">
        <v>975.93299999999999</v>
      </c>
      <c r="AY41" s="452">
        <v>701.1</v>
      </c>
      <c r="AZ41" s="453">
        <v>597.87525000000005</v>
      </c>
      <c r="BA41" s="345">
        <v>566.577</v>
      </c>
      <c r="BB41" s="465" t="s">
        <v>259</v>
      </c>
      <c r="BD41" s="448">
        <v>36</v>
      </c>
      <c r="BE41" s="455">
        <v>6934</v>
      </c>
      <c r="BF41" s="450" t="s">
        <v>199</v>
      </c>
      <c r="BG41" s="451">
        <v>975.93299999999999</v>
      </c>
      <c r="BH41" s="452">
        <v>701.1</v>
      </c>
      <c r="BI41" s="453">
        <v>597.87525000000005</v>
      </c>
      <c r="BJ41" s="345">
        <v>566.577</v>
      </c>
      <c r="BK41" s="465" t="s">
        <v>259</v>
      </c>
    </row>
    <row r="42" spans="2:63" x14ac:dyDescent="0.2">
      <c r="B42" s="344">
        <v>37</v>
      </c>
      <c r="C42" s="455">
        <v>4469</v>
      </c>
      <c r="D42" s="450" t="s">
        <v>30</v>
      </c>
      <c r="E42" s="451">
        <v>982.45</v>
      </c>
      <c r="F42" s="452">
        <v>710.85</v>
      </c>
      <c r="G42" s="453">
        <v>606.85</v>
      </c>
      <c r="H42" s="345">
        <v>583.5</v>
      </c>
      <c r="I42" s="465"/>
      <c r="K42" s="344">
        <v>37</v>
      </c>
      <c r="L42" s="455">
        <v>4469</v>
      </c>
      <c r="M42" s="450" t="s">
        <v>30</v>
      </c>
      <c r="N42" s="451">
        <v>982.45</v>
      </c>
      <c r="O42" s="452">
        <v>710.85</v>
      </c>
      <c r="P42" s="453">
        <v>606.85</v>
      </c>
      <c r="Q42" s="345">
        <v>583.5</v>
      </c>
      <c r="R42" s="465"/>
      <c r="T42" s="344">
        <v>37</v>
      </c>
      <c r="U42" s="455">
        <v>4469</v>
      </c>
      <c r="V42" s="450" t="s">
        <v>30</v>
      </c>
      <c r="W42" s="451">
        <v>982.45</v>
      </c>
      <c r="X42" s="452">
        <v>710.85</v>
      </c>
      <c r="Y42" s="453">
        <v>606.85</v>
      </c>
      <c r="Z42" s="345">
        <v>583.5</v>
      </c>
      <c r="AA42" s="465"/>
      <c r="AC42" s="344">
        <v>37</v>
      </c>
      <c r="AD42" s="455">
        <v>4469</v>
      </c>
      <c r="AE42" s="450" t="s">
        <v>30</v>
      </c>
      <c r="AF42" s="451">
        <v>982.45</v>
      </c>
      <c r="AG42" s="452">
        <v>710.85</v>
      </c>
      <c r="AH42" s="453">
        <v>606.85</v>
      </c>
      <c r="AI42" s="345">
        <v>583.5</v>
      </c>
      <c r="AJ42" s="465"/>
      <c r="AL42" s="344">
        <v>37</v>
      </c>
      <c r="AM42" s="455">
        <v>4469</v>
      </c>
      <c r="AN42" s="450" t="s">
        <v>30</v>
      </c>
      <c r="AO42" s="451">
        <v>982.45</v>
      </c>
      <c r="AP42" s="452">
        <v>710.85</v>
      </c>
      <c r="AQ42" s="453">
        <v>606.85</v>
      </c>
      <c r="AR42" s="345">
        <v>583.5</v>
      </c>
      <c r="AS42" s="465"/>
      <c r="AU42" s="344">
        <v>37</v>
      </c>
      <c r="AV42" s="455">
        <v>4469</v>
      </c>
      <c r="AW42" s="450" t="s">
        <v>30</v>
      </c>
      <c r="AX42" s="451">
        <v>982.45</v>
      </c>
      <c r="AY42" s="452">
        <v>710.85</v>
      </c>
      <c r="AZ42" s="453">
        <v>606.85</v>
      </c>
      <c r="BA42" s="345">
        <v>583.5</v>
      </c>
      <c r="BB42" s="465"/>
      <c r="BD42" s="344">
        <v>37</v>
      </c>
      <c r="BE42" s="455">
        <v>4469</v>
      </c>
      <c r="BF42" s="450" t="s">
        <v>30</v>
      </c>
      <c r="BG42" s="451">
        <v>982.45</v>
      </c>
      <c r="BH42" s="452">
        <v>710.85</v>
      </c>
      <c r="BI42" s="453">
        <v>606.85</v>
      </c>
      <c r="BJ42" s="345">
        <v>583.5</v>
      </c>
      <c r="BK42" s="465"/>
    </row>
    <row r="43" spans="2:63" x14ac:dyDescent="0.2">
      <c r="B43" s="448">
        <v>38</v>
      </c>
      <c r="C43" s="455">
        <v>5273</v>
      </c>
      <c r="D43" s="450" t="s">
        <v>197</v>
      </c>
      <c r="E43" s="451">
        <v>1035.6500000000001</v>
      </c>
      <c r="F43" s="452">
        <v>748.9</v>
      </c>
      <c r="G43" s="453">
        <v>642.45000000000005</v>
      </c>
      <c r="H43" s="345">
        <v>617.1</v>
      </c>
      <c r="I43" s="465"/>
      <c r="K43" s="448">
        <v>38</v>
      </c>
      <c r="L43" s="455">
        <v>5273</v>
      </c>
      <c r="M43" s="450" t="s">
        <v>197</v>
      </c>
      <c r="N43" s="451">
        <v>1035.6500000000001</v>
      </c>
      <c r="O43" s="452">
        <v>748.9</v>
      </c>
      <c r="P43" s="453">
        <v>642.45000000000005</v>
      </c>
      <c r="Q43" s="345">
        <v>617.1</v>
      </c>
      <c r="R43" s="465"/>
      <c r="T43" s="448">
        <v>38</v>
      </c>
      <c r="U43" s="455">
        <v>5273</v>
      </c>
      <c r="V43" s="450" t="s">
        <v>197</v>
      </c>
      <c r="W43" s="451">
        <v>1035.6500000000001</v>
      </c>
      <c r="X43" s="452">
        <v>748.9</v>
      </c>
      <c r="Y43" s="453">
        <v>642.45000000000005</v>
      </c>
      <c r="Z43" s="345">
        <v>617.1</v>
      </c>
      <c r="AA43" s="465"/>
      <c r="AC43" s="448">
        <v>38</v>
      </c>
      <c r="AD43" s="455">
        <v>5273</v>
      </c>
      <c r="AE43" s="450" t="s">
        <v>197</v>
      </c>
      <c r="AF43" s="451">
        <v>1035.6500000000001</v>
      </c>
      <c r="AG43" s="452">
        <v>748.9</v>
      </c>
      <c r="AH43" s="453">
        <v>642.45000000000005</v>
      </c>
      <c r="AI43" s="345">
        <v>617.1</v>
      </c>
      <c r="AJ43" s="465"/>
      <c r="AL43" s="448">
        <v>38</v>
      </c>
      <c r="AM43" s="455">
        <v>5273</v>
      </c>
      <c r="AN43" s="450" t="s">
        <v>197</v>
      </c>
      <c r="AO43" s="451">
        <v>1035.6500000000001</v>
      </c>
      <c r="AP43" s="452">
        <v>748.9</v>
      </c>
      <c r="AQ43" s="453">
        <v>642.45000000000005</v>
      </c>
      <c r="AR43" s="345">
        <v>617.1</v>
      </c>
      <c r="AS43" s="465"/>
      <c r="AU43" s="448">
        <v>38</v>
      </c>
      <c r="AV43" s="455">
        <v>5273</v>
      </c>
      <c r="AW43" s="450" t="s">
        <v>197</v>
      </c>
      <c r="AX43" s="451">
        <v>1035.6500000000001</v>
      </c>
      <c r="AY43" s="452">
        <v>748.9</v>
      </c>
      <c r="AZ43" s="453">
        <v>642.45000000000005</v>
      </c>
      <c r="BA43" s="345">
        <v>617.1</v>
      </c>
      <c r="BB43" s="465"/>
      <c r="BD43" s="448">
        <v>38</v>
      </c>
      <c r="BE43" s="455">
        <v>5273</v>
      </c>
      <c r="BF43" s="450" t="s">
        <v>197</v>
      </c>
      <c r="BG43" s="451">
        <v>1035.6500000000001</v>
      </c>
      <c r="BH43" s="452">
        <v>748.9</v>
      </c>
      <c r="BI43" s="453">
        <v>642.45000000000005</v>
      </c>
      <c r="BJ43" s="345">
        <v>617.1</v>
      </c>
      <c r="BK43" s="465"/>
    </row>
    <row r="44" spans="2:63" x14ac:dyDescent="0.2">
      <c r="B44" s="344"/>
      <c r="C44" s="455"/>
      <c r="D44" s="450"/>
      <c r="E44" s="451"/>
      <c r="F44" s="452"/>
      <c r="G44" s="453"/>
      <c r="H44" s="345"/>
      <c r="I44" s="465"/>
      <c r="K44" s="344"/>
      <c r="L44" s="455"/>
      <c r="M44" s="450"/>
      <c r="N44" s="451"/>
      <c r="O44" s="452"/>
      <c r="P44" s="453"/>
      <c r="Q44" s="345"/>
      <c r="R44" s="465"/>
      <c r="T44" s="344"/>
      <c r="U44" s="455"/>
      <c r="V44" s="450"/>
      <c r="W44" s="451"/>
      <c r="X44" s="452"/>
      <c r="Y44" s="453"/>
      <c r="Z44" s="345"/>
      <c r="AA44" s="465"/>
      <c r="AC44" s="344"/>
      <c r="AD44" s="455"/>
      <c r="AE44" s="450"/>
      <c r="AF44" s="451"/>
      <c r="AG44" s="452"/>
      <c r="AH44" s="453"/>
      <c r="AI44" s="345"/>
      <c r="AJ44" s="465"/>
      <c r="AL44" s="344"/>
      <c r="AM44" s="455"/>
      <c r="AN44" s="450"/>
      <c r="AO44" s="451"/>
      <c r="AP44" s="452"/>
      <c r="AQ44" s="453"/>
      <c r="AR44" s="345"/>
      <c r="AS44" s="465"/>
      <c r="AU44" s="344"/>
      <c r="AV44" s="455"/>
      <c r="AW44" s="450"/>
      <c r="AX44" s="451"/>
      <c r="AY44" s="452"/>
      <c r="AZ44" s="453"/>
      <c r="BA44" s="345"/>
      <c r="BB44" s="465"/>
      <c r="BD44" s="344"/>
      <c r="BE44" s="455"/>
      <c r="BF44" s="450"/>
      <c r="BG44" s="451"/>
      <c r="BH44" s="452"/>
      <c r="BI44" s="453"/>
      <c r="BJ44" s="345"/>
      <c r="BK44" s="465"/>
    </row>
    <row r="45" spans="2:63" x14ac:dyDescent="0.2">
      <c r="B45" s="448"/>
      <c r="C45" s="455"/>
      <c r="D45" s="336"/>
      <c r="E45" s="451"/>
      <c r="F45" s="452"/>
      <c r="G45" s="453"/>
      <c r="H45" s="345"/>
      <c r="I45" s="465"/>
      <c r="K45" s="448"/>
      <c r="L45" s="455"/>
      <c r="M45" s="336"/>
      <c r="N45" s="451"/>
      <c r="O45" s="452"/>
      <c r="P45" s="453"/>
      <c r="Q45" s="345"/>
      <c r="R45" s="465"/>
      <c r="T45" s="448"/>
      <c r="U45" s="455"/>
      <c r="V45" s="336"/>
      <c r="W45" s="451"/>
      <c r="X45" s="452"/>
      <c r="Y45" s="453"/>
      <c r="Z45" s="345"/>
      <c r="AA45" s="465"/>
      <c r="AC45" s="448"/>
      <c r="AD45" s="455"/>
      <c r="AE45" s="336"/>
      <c r="AF45" s="451"/>
      <c r="AG45" s="452"/>
      <c r="AH45" s="453"/>
      <c r="AI45" s="345"/>
      <c r="AJ45" s="465"/>
      <c r="AL45" s="448"/>
      <c r="AM45" s="455"/>
      <c r="AN45" s="336"/>
      <c r="AO45" s="451"/>
      <c r="AP45" s="452"/>
      <c r="AQ45" s="453"/>
      <c r="AR45" s="345"/>
      <c r="AS45" s="465"/>
      <c r="AU45" s="448"/>
      <c r="AV45" s="455"/>
      <c r="AW45" s="336"/>
      <c r="AX45" s="451"/>
      <c r="AY45" s="452"/>
      <c r="AZ45" s="453"/>
      <c r="BA45" s="345"/>
      <c r="BB45" s="465"/>
      <c r="BD45" s="448"/>
      <c r="BE45" s="455"/>
      <c r="BF45" s="336"/>
      <c r="BG45" s="451"/>
      <c r="BH45" s="452"/>
      <c r="BI45" s="453"/>
      <c r="BJ45" s="345"/>
      <c r="BK45" s="465"/>
    </row>
    <row r="46" spans="2:63" x14ac:dyDescent="0.2">
      <c r="B46" s="344"/>
      <c r="C46" s="455"/>
      <c r="D46" s="450"/>
      <c r="E46" s="451"/>
      <c r="F46" s="452"/>
      <c r="G46" s="453"/>
      <c r="H46" s="345"/>
      <c r="I46" s="465"/>
      <c r="K46" s="344"/>
      <c r="L46" s="455"/>
      <c r="M46" s="450"/>
      <c r="N46" s="451"/>
      <c r="O46" s="452"/>
      <c r="P46" s="453"/>
      <c r="Q46" s="345"/>
      <c r="R46" s="465"/>
      <c r="T46" s="344"/>
      <c r="U46" s="455"/>
      <c r="V46" s="450"/>
      <c r="W46" s="451"/>
      <c r="X46" s="452"/>
      <c r="Y46" s="453"/>
      <c r="Z46" s="345"/>
      <c r="AA46" s="465"/>
      <c r="AC46" s="344"/>
      <c r="AD46" s="455"/>
      <c r="AE46" s="450"/>
      <c r="AF46" s="451"/>
      <c r="AG46" s="452"/>
      <c r="AH46" s="453"/>
      <c r="AI46" s="345"/>
      <c r="AJ46" s="465"/>
      <c r="AL46" s="344"/>
      <c r="AM46" s="455"/>
      <c r="AN46" s="450"/>
      <c r="AO46" s="451"/>
      <c r="AP46" s="452"/>
      <c r="AQ46" s="453"/>
      <c r="AR46" s="345"/>
      <c r="AS46" s="465"/>
      <c r="AU46" s="344"/>
      <c r="AV46" s="455"/>
      <c r="AW46" s="450"/>
      <c r="AX46" s="451"/>
      <c r="AY46" s="452"/>
      <c r="AZ46" s="453"/>
      <c r="BA46" s="345"/>
      <c r="BB46" s="465"/>
      <c r="BD46" s="344"/>
      <c r="BE46" s="455"/>
      <c r="BF46" s="450"/>
      <c r="BG46" s="451"/>
      <c r="BH46" s="452"/>
      <c r="BI46" s="453"/>
      <c r="BJ46" s="345"/>
      <c r="BK46" s="465"/>
    </row>
    <row r="47" spans="2:63" x14ac:dyDescent="0.2">
      <c r="B47" s="448"/>
      <c r="C47" s="334"/>
      <c r="D47" s="335"/>
      <c r="E47" s="451"/>
      <c r="F47" s="452"/>
      <c r="G47" s="453"/>
      <c r="H47" s="345"/>
      <c r="I47" s="465"/>
      <c r="K47" s="448"/>
      <c r="L47" s="334"/>
      <c r="M47" s="335"/>
      <c r="N47" s="451"/>
      <c r="O47" s="452"/>
      <c r="P47" s="453"/>
      <c r="Q47" s="345"/>
      <c r="R47" s="465"/>
      <c r="T47" s="448"/>
      <c r="U47" s="334"/>
      <c r="V47" s="335"/>
      <c r="W47" s="451"/>
      <c r="X47" s="452"/>
      <c r="Y47" s="453"/>
      <c r="Z47" s="345"/>
      <c r="AA47" s="465"/>
      <c r="AC47" s="448"/>
      <c r="AD47" s="334"/>
      <c r="AE47" s="335"/>
      <c r="AF47" s="451"/>
      <c r="AG47" s="452"/>
      <c r="AH47" s="453"/>
      <c r="AI47" s="345"/>
      <c r="AJ47" s="465"/>
      <c r="AL47" s="448"/>
      <c r="AM47" s="334"/>
      <c r="AN47" s="335"/>
      <c r="AO47" s="451"/>
      <c r="AP47" s="452"/>
      <c r="AQ47" s="453"/>
      <c r="AR47" s="345"/>
      <c r="AS47" s="465"/>
      <c r="AU47" s="448"/>
      <c r="AV47" s="334"/>
      <c r="AW47" s="335"/>
      <c r="AX47" s="451"/>
      <c r="AY47" s="452"/>
      <c r="AZ47" s="453"/>
      <c r="BA47" s="345"/>
      <c r="BB47" s="465"/>
      <c r="BD47" s="448"/>
      <c r="BE47" s="334"/>
      <c r="BF47" s="335"/>
      <c r="BG47" s="451"/>
      <c r="BH47" s="452"/>
      <c r="BI47" s="453"/>
      <c r="BJ47" s="345"/>
      <c r="BK47" s="465"/>
    </row>
    <row r="48" spans="2:63" x14ac:dyDescent="0.2">
      <c r="B48" s="344"/>
      <c r="C48" s="455"/>
      <c r="D48" s="335"/>
      <c r="E48" s="451"/>
      <c r="F48" s="452"/>
      <c r="G48" s="453"/>
      <c r="H48" s="345"/>
      <c r="I48" s="465"/>
      <c r="K48" s="344"/>
      <c r="L48" s="455"/>
      <c r="M48" s="335"/>
      <c r="N48" s="451"/>
      <c r="O48" s="452"/>
      <c r="P48" s="453"/>
      <c r="Q48" s="345"/>
      <c r="R48" s="465"/>
      <c r="T48" s="344"/>
      <c r="U48" s="455"/>
      <c r="V48" s="335"/>
      <c r="W48" s="451"/>
      <c r="X48" s="452"/>
      <c r="Y48" s="453"/>
      <c r="Z48" s="345"/>
      <c r="AA48" s="465"/>
      <c r="AC48" s="344"/>
      <c r="AD48" s="455"/>
      <c r="AE48" s="335"/>
      <c r="AF48" s="451"/>
      <c r="AG48" s="452"/>
      <c r="AH48" s="453"/>
      <c r="AI48" s="345"/>
      <c r="AJ48" s="465"/>
      <c r="AL48" s="344"/>
      <c r="AM48" s="455"/>
      <c r="AN48" s="335"/>
      <c r="AO48" s="451"/>
      <c r="AP48" s="452"/>
      <c r="AQ48" s="453"/>
      <c r="AR48" s="345"/>
      <c r="AS48" s="465"/>
      <c r="AU48" s="344"/>
      <c r="AV48" s="455"/>
      <c r="AW48" s="335"/>
      <c r="AX48" s="451"/>
      <c r="AY48" s="452"/>
      <c r="AZ48" s="453"/>
      <c r="BA48" s="345"/>
      <c r="BB48" s="465"/>
      <c r="BD48" s="344"/>
      <c r="BE48" s="455"/>
      <c r="BF48" s="335"/>
      <c r="BG48" s="451"/>
      <c r="BH48" s="452"/>
      <c r="BI48" s="453"/>
      <c r="BJ48" s="345"/>
      <c r="BK48" s="465"/>
    </row>
    <row r="49" spans="2:63" x14ac:dyDescent="0.2">
      <c r="B49" s="448"/>
      <c r="C49" s="459"/>
      <c r="D49" s="336"/>
      <c r="E49" s="460"/>
      <c r="F49" s="461"/>
      <c r="G49" s="462"/>
      <c r="H49" s="345"/>
      <c r="I49" s="465"/>
      <c r="K49" s="448"/>
      <c r="L49" s="459"/>
      <c r="M49" s="336"/>
      <c r="N49" s="460"/>
      <c r="O49" s="461"/>
      <c r="P49" s="462"/>
      <c r="Q49" s="345"/>
      <c r="R49" s="465"/>
      <c r="T49" s="448"/>
      <c r="U49" s="459"/>
      <c r="V49" s="336"/>
      <c r="W49" s="460"/>
      <c r="X49" s="461"/>
      <c r="Y49" s="462"/>
      <c r="Z49" s="345"/>
      <c r="AA49" s="465"/>
      <c r="AC49" s="448"/>
      <c r="AD49" s="459"/>
      <c r="AE49" s="336"/>
      <c r="AF49" s="460"/>
      <c r="AG49" s="461"/>
      <c r="AH49" s="462"/>
      <c r="AI49" s="345"/>
      <c r="AJ49" s="465"/>
      <c r="AL49" s="448"/>
      <c r="AM49" s="459"/>
      <c r="AN49" s="336"/>
      <c r="AO49" s="460"/>
      <c r="AP49" s="461"/>
      <c r="AQ49" s="462"/>
      <c r="AR49" s="345"/>
      <c r="AS49" s="465"/>
      <c r="AU49" s="448"/>
      <c r="AV49" s="459"/>
      <c r="AW49" s="336"/>
      <c r="AX49" s="460"/>
      <c r="AY49" s="461"/>
      <c r="AZ49" s="462"/>
      <c r="BA49" s="345"/>
      <c r="BB49" s="465"/>
      <c r="BD49" s="448"/>
      <c r="BE49" s="459"/>
      <c r="BF49" s="336"/>
      <c r="BG49" s="460"/>
      <c r="BH49" s="461"/>
      <c r="BI49" s="462"/>
      <c r="BJ49" s="345"/>
      <c r="BK49" s="465"/>
    </row>
    <row r="50" spans="2:63" ht="13.5" thickBot="1" x14ac:dyDescent="0.25">
      <c r="B50" s="339"/>
      <c r="C50" s="463"/>
      <c r="D50" s="463"/>
      <c r="E50" s="463"/>
      <c r="F50" s="463"/>
      <c r="G50" s="435"/>
      <c r="H50" s="435"/>
      <c r="I50" s="467"/>
      <c r="K50" s="339"/>
      <c r="L50" s="463"/>
      <c r="M50" s="463"/>
      <c r="N50" s="463"/>
      <c r="O50" s="463"/>
      <c r="P50" s="435"/>
      <c r="Q50" s="435"/>
      <c r="R50" s="467"/>
      <c r="T50" s="339"/>
      <c r="U50" s="463"/>
      <c r="V50" s="463"/>
      <c r="W50" s="463"/>
      <c r="X50" s="463"/>
      <c r="Y50" s="435"/>
      <c r="Z50" s="435"/>
      <c r="AA50" s="467"/>
      <c r="AC50" s="339"/>
      <c r="AD50" s="463"/>
      <c r="AE50" s="463"/>
      <c r="AF50" s="463"/>
      <c r="AG50" s="463"/>
      <c r="AH50" s="435"/>
      <c r="AI50" s="435"/>
      <c r="AJ50" s="467"/>
      <c r="AL50" s="339"/>
      <c r="AM50" s="463"/>
      <c r="AN50" s="463"/>
      <c r="AO50" s="463"/>
      <c r="AP50" s="463"/>
      <c r="AQ50" s="435"/>
      <c r="AR50" s="435"/>
      <c r="AS50" s="467"/>
      <c r="AU50" s="339"/>
      <c r="AV50" s="463"/>
      <c r="AW50" s="463"/>
      <c r="AX50" s="463"/>
      <c r="AY50" s="463"/>
      <c r="AZ50" s="435"/>
      <c r="BA50" s="435"/>
      <c r="BB50" s="467"/>
      <c r="BD50" s="339"/>
      <c r="BE50" s="463"/>
      <c r="BF50" s="463"/>
      <c r="BG50" s="463"/>
      <c r="BH50" s="463"/>
      <c r="BI50" s="435"/>
      <c r="BJ50" s="435"/>
      <c r="BK50" s="467"/>
    </row>
  </sheetData>
  <sheetProtection algorithmName="SHA-512" hashValue="oAQ+0IEVlkJwEL+5ROavVPnouShCOMw/QUtGhN6Sk25+9te4s00me1ED0zpqNLkv1uiG/iAHVCpi3Yovnoag/A==" saltValue="xRhyFFU/D8GFMkNRiQL9Cg==" spinCount="100000" sheet="1" objects="1" scenarios="1"/>
  <mergeCells count="21">
    <mergeCell ref="B5:C5"/>
    <mergeCell ref="B3:C3"/>
    <mergeCell ref="I4:I5"/>
    <mergeCell ref="K3:L3"/>
    <mergeCell ref="R4:R5"/>
    <mergeCell ref="K5:L5"/>
    <mergeCell ref="BD3:BE3"/>
    <mergeCell ref="BK4:BK5"/>
    <mergeCell ref="BD5:BE5"/>
    <mergeCell ref="T3:U3"/>
    <mergeCell ref="AA4:AA5"/>
    <mergeCell ref="T5:U5"/>
    <mergeCell ref="BB4:BB5"/>
    <mergeCell ref="AU5:AV5"/>
    <mergeCell ref="AJ4:AJ5"/>
    <mergeCell ref="AC5:AD5"/>
    <mergeCell ref="AL3:AM3"/>
    <mergeCell ref="AS4:AS5"/>
    <mergeCell ref="AL5:AM5"/>
    <mergeCell ref="AU3:AV3"/>
    <mergeCell ref="AC3:AD3"/>
  </mergeCells>
  <phoneticPr fontId="70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E42"/>
  <sheetViews>
    <sheetView zoomScale="85" zoomScaleNormal="85" workbookViewId="0">
      <selection activeCell="K23" sqref="K23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" style="153" hidden="1" customWidth="1"/>
    <col min="6" max="6" width="5.453125" style="153" customWidth="1"/>
    <col min="7" max="7" width="12" style="153" customWidth="1"/>
    <col min="8" max="8" width="8.906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90625" style="153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3.453125" style="153" customWidth="1"/>
    <col min="18" max="18" width="4.90625" style="153" customWidth="1"/>
    <col min="19" max="21" width="7.6328125" style="153" hidden="1" customWidth="1"/>
    <col min="22" max="22" width="8.26953125" style="153" customWidth="1"/>
    <col min="23" max="25" width="7.6328125" style="153" customWidth="1"/>
    <col min="26" max="26" width="4.453125" style="153" customWidth="1"/>
    <col min="27" max="29" width="8" style="153" customWidth="1"/>
    <col min="30" max="16384" width="9" style="153"/>
  </cols>
  <sheetData>
    <row r="1" spans="1:31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31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164</v>
      </c>
      <c r="H2" s="65" t="s">
        <v>242</v>
      </c>
      <c r="I2" s="66"/>
      <c r="J2" s="62"/>
      <c r="K2" s="67"/>
      <c r="L2" s="62"/>
      <c r="M2" s="68" t="s">
        <v>33</v>
      </c>
      <c r="N2" s="69" t="s">
        <v>43</v>
      </c>
      <c r="O2" s="70" t="s">
        <v>35</v>
      </c>
      <c r="P2" s="194">
        <v>46299</v>
      </c>
      <c r="Q2" s="298" t="s">
        <v>198</v>
      </c>
      <c r="R2" s="62"/>
      <c r="S2" s="155" t="s">
        <v>2</v>
      </c>
      <c r="T2" s="154"/>
      <c r="U2" s="154"/>
      <c r="V2" s="154"/>
      <c r="W2" s="154"/>
      <c r="X2" s="154"/>
      <c r="Y2" s="154"/>
      <c r="Z2" s="154"/>
    </row>
    <row r="3" spans="1:31" ht="21.75" customHeight="1" thickBot="1" x14ac:dyDescent="0.35">
      <c r="A3" s="71"/>
      <c r="B3" s="62"/>
      <c r="C3" s="71"/>
      <c r="D3" s="72" t="s">
        <v>275</v>
      </c>
      <c r="E3" s="616" t="s">
        <v>45</v>
      </c>
      <c r="F3" s="616"/>
      <c r="G3" s="616"/>
      <c r="H3" s="616"/>
      <c r="I3" s="616"/>
      <c r="J3" s="581" t="s">
        <v>36</v>
      </c>
      <c r="K3" s="581"/>
      <c r="L3" s="62"/>
      <c r="M3" s="73" t="s">
        <v>56</v>
      </c>
      <c r="N3" s="74">
        <f>IF(ISBLANK(N2),"",VLOOKUP(N2,コース・距離,2,FALSE))</f>
        <v>26.6</v>
      </c>
      <c r="O3" s="75" t="s">
        <v>0</v>
      </c>
      <c r="P3" s="76"/>
      <c r="Q3" s="77" t="s">
        <v>1</v>
      </c>
      <c r="R3" s="62"/>
      <c r="S3" s="154" t="s">
        <v>182</v>
      </c>
      <c r="T3" s="154"/>
      <c r="U3" s="154"/>
      <c r="V3" s="155" t="s">
        <v>2</v>
      </c>
      <c r="W3" s="154"/>
      <c r="X3" s="154"/>
      <c r="Y3" s="154"/>
      <c r="Z3" s="154"/>
      <c r="AA3" s="156" t="s">
        <v>57</v>
      </c>
    </row>
    <row r="4" spans="1:31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154"/>
      <c r="T4" s="154"/>
      <c r="U4" s="154"/>
      <c r="V4" s="157"/>
      <c r="W4" s="154"/>
      <c r="X4" s="154"/>
      <c r="Y4" s="154"/>
      <c r="Z4" s="154"/>
    </row>
    <row r="5" spans="1:31" ht="14" x14ac:dyDescent="0.2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151"/>
      <c r="S5" s="160" t="s">
        <v>10</v>
      </c>
      <c r="T5" s="158" t="s">
        <v>10</v>
      </c>
      <c r="U5" s="356" t="s">
        <v>10</v>
      </c>
      <c r="V5" s="417" t="s">
        <v>10</v>
      </c>
      <c r="W5" s="418" t="s">
        <v>10</v>
      </c>
      <c r="X5" s="477" t="s">
        <v>10</v>
      </c>
      <c r="Y5" s="419" t="s">
        <v>10</v>
      </c>
      <c r="Z5" s="159"/>
      <c r="AA5" s="160" t="s">
        <v>13</v>
      </c>
      <c r="AB5" s="158" t="s">
        <v>13</v>
      </c>
      <c r="AC5" s="356" t="s">
        <v>13</v>
      </c>
      <c r="AD5" s="158" t="s">
        <v>13</v>
      </c>
      <c r="AE5" s="431" t="s">
        <v>13</v>
      </c>
    </row>
    <row r="6" spans="1:31" ht="14" x14ac:dyDescent="0.2">
      <c r="A6" s="71"/>
      <c r="B6" s="81"/>
      <c r="C6" s="82" t="s">
        <v>14</v>
      </c>
      <c r="D6" s="414"/>
      <c r="E6" s="84"/>
      <c r="F6" s="84"/>
      <c r="G6" s="82" t="s">
        <v>16</v>
      </c>
      <c r="H6" s="84" t="s">
        <v>17</v>
      </c>
      <c r="I6" s="82" t="s">
        <v>265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85" t="str">
        <f>"MAX=0"</f>
        <v>MAX=0</v>
      </c>
      <c r="P6" s="86"/>
      <c r="Q6" s="87"/>
      <c r="R6" s="152"/>
      <c r="S6" s="164" t="s">
        <v>20</v>
      </c>
      <c r="T6" s="162" t="s">
        <v>22</v>
      </c>
      <c r="U6" s="357" t="s">
        <v>21</v>
      </c>
      <c r="V6" s="420" t="s">
        <v>20</v>
      </c>
      <c r="W6" s="416" t="s">
        <v>22</v>
      </c>
      <c r="X6" s="478" t="s">
        <v>21</v>
      </c>
      <c r="Y6" s="421" t="s">
        <v>250</v>
      </c>
      <c r="Z6" s="163"/>
      <c r="AA6" s="439" t="s">
        <v>206</v>
      </c>
      <c r="AB6" s="430" t="s">
        <v>59</v>
      </c>
      <c r="AC6" s="440" t="s">
        <v>205</v>
      </c>
      <c r="AD6" s="430" t="s">
        <v>251</v>
      </c>
      <c r="AE6" s="436" t="s">
        <v>252</v>
      </c>
    </row>
    <row r="7" spans="1:31" ht="14" x14ac:dyDescent="0.2">
      <c r="A7" s="71"/>
      <c r="B7" s="88">
        <v>1</v>
      </c>
      <c r="C7" s="89"/>
      <c r="D7" s="145" t="str">
        <f t="shared" ref="D7:D31" si="0">IF(ISBLANK(C7),"",VLOOKUP(C7,ランデブーレースＴＡ,2,FALSE))</f>
        <v/>
      </c>
      <c r="E7" s="179"/>
      <c r="F7" s="91">
        <v>1</v>
      </c>
      <c r="G7" s="92"/>
      <c r="H7" s="89" t="str">
        <f t="shared" ref="H7:H23" si="1">IFERROR(IF(G7-$Q$2&lt;=0,"",(G7-$Q$2)*86400),"")</f>
        <v/>
      </c>
      <c r="I7" s="93" t="str">
        <f t="shared" ref="I7:I23" si="2">IF($I$6="Ⅰ",V7,IF($I$6="Ⅱ",W7,IF($I$6="Ⅲ",X7,"")))</f>
        <v/>
      </c>
      <c r="J7" s="91"/>
      <c r="K7" s="94" t="str">
        <f t="shared" ref="K7:K23" si="3">IFERROR(H7*(1+0.01*J7)-I7*$N$3,"")</f>
        <v/>
      </c>
      <c r="L7" s="92" t="str">
        <f t="shared" ref="L7:L23" si="4">IFERROR((K7-$K$7)/86400,"")</f>
        <v/>
      </c>
      <c r="M7" s="95" t="str">
        <f t="shared" ref="M7:M23" si="5">IFERROR((K7-$K$7)/$N$3,"")</f>
        <v/>
      </c>
      <c r="N7" s="96" t="str">
        <f t="shared" ref="N7:N23" si="6">IFERROR($N$3/(H7/3600),"")</f>
        <v/>
      </c>
      <c r="O7" s="97"/>
      <c r="P7" s="299"/>
      <c r="Q7" s="98"/>
      <c r="R7" s="151"/>
      <c r="S7" s="167" t="str">
        <f t="shared" ref="S7:S31" si="7">IF(ISBLANK(C7),"",VLOOKUP(C7,各艇データ,3,FALSE))</f>
        <v/>
      </c>
      <c r="T7" s="168" t="str">
        <f t="shared" ref="T7:T31" si="8">IF(ISBLANK(C7),"",VLOOKUP(C7,各艇データ,4,FALSE))</f>
        <v/>
      </c>
      <c r="U7" s="358" t="str">
        <f t="shared" ref="U7:U31" si="9">IF(ISBLANK(C7),"",VLOOKUP(C7,各艇データ,5,FALSE))</f>
        <v/>
      </c>
      <c r="V7" s="422" t="str">
        <f t="shared" ref="V7:V31" si="10">IF(ISBLANK(C7),"",VLOOKUP(C7,ランデブーレースＴＡ,3,FALSE))</f>
        <v/>
      </c>
      <c r="W7" s="351" t="str">
        <f t="shared" ref="W7:W31" si="11">IF(ISBLANK(C7),"",VLOOKUP(C7,ランデブーレースＴＡ,4,FALSE))</f>
        <v/>
      </c>
      <c r="X7" s="475" t="str">
        <f t="shared" ref="X7:X31" si="12">IF(ISBLANK(C7),"",VLOOKUP(C7,ランデブーレースＴＡ,5,FALSE))</f>
        <v/>
      </c>
      <c r="Y7" s="363" t="str">
        <f t="shared" ref="Y7:Y31" si="13">IF(ISBLANK(C7),"",VLOOKUP(C7,ランデブーレースＴＡ,6,FALSE))</f>
        <v/>
      </c>
      <c r="Z7" s="159"/>
      <c r="AA7" s="171" t="str">
        <f>IF(ISBLANK($B7),"",IFERROR(15*($P$3+1-$B7)/$P$3,"15.0"))</f>
        <v>15.0</v>
      </c>
      <c r="AB7" s="166" t="str">
        <f>IF(ISBLANK($B7),"",IFERROR(20*($P$3+1-$B7)/$P$3,"20.0"))</f>
        <v>20.0</v>
      </c>
      <c r="AC7" s="166" t="str">
        <f>IF(ISBLANK($B7),"",IFERROR(25*($P$3+1-$B7)/$P$3,"25.0"))</f>
        <v>25.0</v>
      </c>
      <c r="AD7" s="166" t="str">
        <f>IF(ISBLANK($B7),"",IFERROR(30*($P$3+1-$B7)/$P$3,"30.0"))</f>
        <v>30.0</v>
      </c>
      <c r="AE7" s="441" t="str">
        <f>IF(ISBLANK($B7),"",IFERROR(40*($P$3+1-$B7)/$P$3,"40.0"))</f>
        <v>40.0</v>
      </c>
    </row>
    <row r="8" spans="1:31" ht="14" x14ac:dyDescent="0.2">
      <c r="A8" s="71"/>
      <c r="B8" s="99">
        <v>2</v>
      </c>
      <c r="C8" s="100"/>
      <c r="D8" s="145" t="str">
        <f t="shared" si="0"/>
        <v/>
      </c>
      <c r="E8" s="180"/>
      <c r="F8" s="102">
        <v>2</v>
      </c>
      <c r="G8" s="103"/>
      <c r="H8" s="100" t="str">
        <f t="shared" si="1"/>
        <v/>
      </c>
      <c r="I8" s="104" t="str">
        <f t="shared" si="2"/>
        <v/>
      </c>
      <c r="J8" s="102"/>
      <c r="K8" s="105" t="str">
        <f t="shared" si="3"/>
        <v/>
      </c>
      <c r="L8" s="103" t="str">
        <f t="shared" si="4"/>
        <v/>
      </c>
      <c r="M8" s="106" t="str">
        <f t="shared" si="5"/>
        <v/>
      </c>
      <c r="N8" s="107" t="str">
        <f t="shared" si="6"/>
        <v/>
      </c>
      <c r="O8" s="108"/>
      <c r="P8" s="142"/>
      <c r="Q8" s="110"/>
      <c r="R8" s="151"/>
      <c r="S8" s="167" t="str">
        <f t="shared" si="7"/>
        <v/>
      </c>
      <c r="T8" s="168" t="str">
        <f t="shared" si="8"/>
        <v/>
      </c>
      <c r="U8" s="358" t="str">
        <f t="shared" si="9"/>
        <v/>
      </c>
      <c r="V8" s="422" t="str">
        <f t="shared" si="10"/>
        <v/>
      </c>
      <c r="W8" s="351" t="str">
        <f t="shared" si="11"/>
        <v/>
      </c>
      <c r="X8" s="475" t="str">
        <f t="shared" si="12"/>
        <v/>
      </c>
      <c r="Y8" s="363" t="str">
        <f t="shared" si="13"/>
        <v/>
      </c>
      <c r="Z8" s="159"/>
      <c r="AA8" s="171" t="str">
        <f t="shared" ref="AA8:AA30" si="14">IF(ISBLANK($B8),"",IFERROR(15*($P$3+1-$B8)/$P$3,"15.0"))</f>
        <v>15.0</v>
      </c>
      <c r="AB8" s="166" t="str">
        <f t="shared" ref="AB8:AB31" si="15">IF(ISBLANK($B8),"",IFERROR(20*($P$3+1-$B8)/$P$3,"20.0"))</f>
        <v>20.0</v>
      </c>
      <c r="AC8" s="166" t="str">
        <f t="shared" ref="AC8:AC26" si="16">IF(ISBLANK($B8),"",IFERROR(25*($P$3+1-$B8)/$P$3,"25.0"))</f>
        <v>25.0</v>
      </c>
      <c r="AD8" s="166" t="str">
        <f t="shared" ref="AD8:AD26" si="17">IF(ISBLANK($B8),"",IFERROR(30*($P$3+1-$B8)/$P$3,"30.0"))</f>
        <v>30.0</v>
      </c>
      <c r="AE8" s="441" t="str">
        <f t="shared" ref="AE8:AE31" si="18">IF(ISBLANK($B8),"",IFERROR(40*($P$3+1-$B8)/$P$3,"40.0"))</f>
        <v>40.0</v>
      </c>
    </row>
    <row r="9" spans="1:31" ht="14" x14ac:dyDescent="0.2">
      <c r="A9" s="71"/>
      <c r="B9" s="99">
        <v>3</v>
      </c>
      <c r="C9" s="100"/>
      <c r="D9" s="145" t="str">
        <f t="shared" si="0"/>
        <v/>
      </c>
      <c r="E9" s="180"/>
      <c r="F9" s="102">
        <v>3</v>
      </c>
      <c r="G9" s="103"/>
      <c r="H9" s="100" t="str">
        <f t="shared" si="1"/>
        <v/>
      </c>
      <c r="I9" s="104" t="str">
        <f t="shared" si="2"/>
        <v/>
      </c>
      <c r="J9" s="102"/>
      <c r="K9" s="105" t="str">
        <f t="shared" si="3"/>
        <v/>
      </c>
      <c r="L9" s="103" t="str">
        <f t="shared" si="4"/>
        <v/>
      </c>
      <c r="M9" s="106" t="str">
        <f t="shared" si="5"/>
        <v/>
      </c>
      <c r="N9" s="107" t="str">
        <f t="shared" si="6"/>
        <v/>
      </c>
      <c r="O9" s="108"/>
      <c r="P9" s="142"/>
      <c r="Q9" s="110"/>
      <c r="R9" s="151"/>
      <c r="S9" s="167" t="str">
        <f t="shared" si="7"/>
        <v/>
      </c>
      <c r="T9" s="168" t="str">
        <f t="shared" si="8"/>
        <v/>
      </c>
      <c r="U9" s="358" t="str">
        <f t="shared" si="9"/>
        <v/>
      </c>
      <c r="V9" s="422" t="str">
        <f t="shared" si="10"/>
        <v/>
      </c>
      <c r="W9" s="351" t="str">
        <f t="shared" si="11"/>
        <v/>
      </c>
      <c r="X9" s="475" t="str">
        <f t="shared" si="12"/>
        <v/>
      </c>
      <c r="Y9" s="363" t="str">
        <f t="shared" si="13"/>
        <v/>
      </c>
      <c r="Z9" s="159"/>
      <c r="AA9" s="171" t="str">
        <f t="shared" si="14"/>
        <v>15.0</v>
      </c>
      <c r="AB9" s="166" t="str">
        <f t="shared" si="15"/>
        <v>20.0</v>
      </c>
      <c r="AC9" s="166" t="str">
        <f t="shared" si="16"/>
        <v>25.0</v>
      </c>
      <c r="AD9" s="166" t="str">
        <f t="shared" si="17"/>
        <v>30.0</v>
      </c>
      <c r="AE9" s="441" t="str">
        <f t="shared" si="18"/>
        <v>40.0</v>
      </c>
    </row>
    <row r="10" spans="1:31" ht="14" x14ac:dyDescent="0.2">
      <c r="A10" s="71"/>
      <c r="B10" s="99">
        <v>4</v>
      </c>
      <c r="C10" s="100"/>
      <c r="D10" s="145" t="str">
        <f t="shared" si="0"/>
        <v/>
      </c>
      <c r="E10" s="180"/>
      <c r="F10" s="102">
        <v>4</v>
      </c>
      <c r="G10" s="103"/>
      <c r="H10" s="100" t="str">
        <f t="shared" si="1"/>
        <v/>
      </c>
      <c r="I10" s="104" t="str">
        <f t="shared" si="2"/>
        <v/>
      </c>
      <c r="J10" s="102"/>
      <c r="K10" s="105" t="str">
        <f t="shared" si="3"/>
        <v/>
      </c>
      <c r="L10" s="103" t="str">
        <f t="shared" si="4"/>
        <v/>
      </c>
      <c r="M10" s="106" t="str">
        <f t="shared" si="5"/>
        <v/>
      </c>
      <c r="N10" s="107" t="str">
        <f t="shared" si="6"/>
        <v/>
      </c>
      <c r="O10" s="108"/>
      <c r="P10" s="109"/>
      <c r="Q10" s="110"/>
      <c r="R10" s="151"/>
      <c r="S10" s="167" t="str">
        <f t="shared" si="7"/>
        <v/>
      </c>
      <c r="T10" s="168" t="str">
        <f t="shared" si="8"/>
        <v/>
      </c>
      <c r="U10" s="358" t="str">
        <f t="shared" si="9"/>
        <v/>
      </c>
      <c r="V10" s="422" t="str">
        <f t="shared" si="10"/>
        <v/>
      </c>
      <c r="W10" s="351" t="str">
        <f t="shared" si="11"/>
        <v/>
      </c>
      <c r="X10" s="475" t="str">
        <f t="shared" si="12"/>
        <v/>
      </c>
      <c r="Y10" s="363" t="str">
        <f t="shared" si="13"/>
        <v/>
      </c>
      <c r="Z10" s="159"/>
      <c r="AA10" s="171" t="str">
        <f t="shared" si="14"/>
        <v>15.0</v>
      </c>
      <c r="AB10" s="166" t="str">
        <f t="shared" si="15"/>
        <v>20.0</v>
      </c>
      <c r="AC10" s="166" t="str">
        <f t="shared" si="16"/>
        <v>25.0</v>
      </c>
      <c r="AD10" s="166" t="str">
        <f t="shared" si="17"/>
        <v>30.0</v>
      </c>
      <c r="AE10" s="441" t="str">
        <f t="shared" si="18"/>
        <v>40.0</v>
      </c>
    </row>
    <row r="11" spans="1:31" ht="14" x14ac:dyDescent="0.2">
      <c r="A11" s="71"/>
      <c r="B11" s="111">
        <v>5</v>
      </c>
      <c r="C11" s="112"/>
      <c r="D11" s="113" t="str">
        <f t="shared" si="0"/>
        <v/>
      </c>
      <c r="E11" s="181"/>
      <c r="F11" s="114">
        <v>5</v>
      </c>
      <c r="G11" s="115"/>
      <c r="H11" s="116" t="str">
        <f t="shared" si="1"/>
        <v/>
      </c>
      <c r="I11" s="117" t="str">
        <f t="shared" si="2"/>
        <v/>
      </c>
      <c r="J11" s="118"/>
      <c r="K11" s="119" t="str">
        <f t="shared" si="3"/>
        <v/>
      </c>
      <c r="L11" s="120" t="str">
        <f t="shared" si="4"/>
        <v/>
      </c>
      <c r="M11" s="121" t="str">
        <f t="shared" si="5"/>
        <v/>
      </c>
      <c r="N11" s="122" t="str">
        <f t="shared" si="6"/>
        <v/>
      </c>
      <c r="O11" s="123"/>
      <c r="P11" s="302"/>
      <c r="Q11" s="125"/>
      <c r="R11" s="151"/>
      <c r="S11" s="167" t="str">
        <f t="shared" si="7"/>
        <v/>
      </c>
      <c r="T11" s="168" t="str">
        <f t="shared" si="8"/>
        <v/>
      </c>
      <c r="U11" s="358" t="str">
        <f t="shared" si="9"/>
        <v/>
      </c>
      <c r="V11" s="422" t="str">
        <f t="shared" si="10"/>
        <v/>
      </c>
      <c r="W11" s="351" t="str">
        <f t="shared" si="11"/>
        <v/>
      </c>
      <c r="X11" s="475" t="str">
        <f t="shared" si="12"/>
        <v/>
      </c>
      <c r="Y11" s="363" t="str">
        <f t="shared" si="13"/>
        <v/>
      </c>
      <c r="Z11" s="159"/>
      <c r="AA11" s="171" t="str">
        <f t="shared" si="14"/>
        <v>15.0</v>
      </c>
      <c r="AB11" s="166" t="str">
        <f t="shared" si="15"/>
        <v>20.0</v>
      </c>
      <c r="AC11" s="166" t="str">
        <f t="shared" si="16"/>
        <v>25.0</v>
      </c>
      <c r="AD11" s="166" t="str">
        <f t="shared" si="17"/>
        <v>30.0</v>
      </c>
      <c r="AE11" s="441" t="str">
        <f t="shared" si="18"/>
        <v>40.0</v>
      </c>
    </row>
    <row r="12" spans="1:31" ht="14" x14ac:dyDescent="0.2">
      <c r="A12" s="71"/>
      <c r="B12" s="88">
        <v>6</v>
      </c>
      <c r="C12" s="89"/>
      <c r="D12" s="145" t="str">
        <f t="shared" si="0"/>
        <v/>
      </c>
      <c r="E12" s="179"/>
      <c r="F12" s="91">
        <v>6</v>
      </c>
      <c r="G12" s="92"/>
      <c r="H12" s="89" t="str">
        <f t="shared" si="1"/>
        <v/>
      </c>
      <c r="I12" s="93" t="str">
        <f t="shared" si="2"/>
        <v/>
      </c>
      <c r="J12" s="91"/>
      <c r="K12" s="94" t="str">
        <f t="shared" si="3"/>
        <v/>
      </c>
      <c r="L12" s="92" t="str">
        <f t="shared" si="4"/>
        <v/>
      </c>
      <c r="M12" s="95" t="str">
        <f t="shared" si="5"/>
        <v/>
      </c>
      <c r="N12" s="96" t="str">
        <f t="shared" si="6"/>
        <v/>
      </c>
      <c r="O12" s="97"/>
      <c r="P12" s="303"/>
      <c r="Q12" s="98"/>
      <c r="R12" s="151"/>
      <c r="S12" s="167" t="str">
        <f t="shared" si="7"/>
        <v/>
      </c>
      <c r="T12" s="168" t="str">
        <f t="shared" si="8"/>
        <v/>
      </c>
      <c r="U12" s="358" t="str">
        <f t="shared" si="9"/>
        <v/>
      </c>
      <c r="V12" s="422" t="str">
        <f t="shared" si="10"/>
        <v/>
      </c>
      <c r="W12" s="351" t="str">
        <f t="shared" si="11"/>
        <v/>
      </c>
      <c r="X12" s="475" t="str">
        <f t="shared" si="12"/>
        <v/>
      </c>
      <c r="Y12" s="363" t="str">
        <f t="shared" si="13"/>
        <v/>
      </c>
      <c r="Z12" s="159"/>
      <c r="AA12" s="171" t="str">
        <f t="shared" si="14"/>
        <v>15.0</v>
      </c>
      <c r="AB12" s="166" t="str">
        <f t="shared" si="15"/>
        <v>20.0</v>
      </c>
      <c r="AC12" s="166" t="str">
        <f t="shared" si="16"/>
        <v>25.0</v>
      </c>
      <c r="AD12" s="166" t="str">
        <f t="shared" si="17"/>
        <v>30.0</v>
      </c>
      <c r="AE12" s="441" t="str">
        <f t="shared" si="18"/>
        <v>40.0</v>
      </c>
    </row>
    <row r="13" spans="1:31" ht="14" x14ac:dyDescent="0.2">
      <c r="A13" s="71"/>
      <c r="B13" s="99">
        <v>7</v>
      </c>
      <c r="C13" s="100"/>
      <c r="D13" s="145" t="str">
        <f t="shared" si="0"/>
        <v/>
      </c>
      <c r="E13" s="180"/>
      <c r="F13" s="102">
        <v>7</v>
      </c>
      <c r="G13" s="103"/>
      <c r="H13" s="100" t="str">
        <f t="shared" si="1"/>
        <v/>
      </c>
      <c r="I13" s="104" t="str">
        <f t="shared" si="2"/>
        <v/>
      </c>
      <c r="J13" s="102"/>
      <c r="K13" s="105" t="str">
        <f t="shared" si="3"/>
        <v/>
      </c>
      <c r="L13" s="103" t="str">
        <f t="shared" si="4"/>
        <v/>
      </c>
      <c r="M13" s="106" t="str">
        <f t="shared" si="5"/>
        <v/>
      </c>
      <c r="N13" s="107" t="str">
        <f t="shared" si="6"/>
        <v/>
      </c>
      <c r="O13" s="108"/>
      <c r="P13" s="109"/>
      <c r="Q13" s="110"/>
      <c r="R13" s="151"/>
      <c r="S13" s="167" t="str">
        <f t="shared" si="7"/>
        <v/>
      </c>
      <c r="T13" s="168" t="str">
        <f t="shared" si="8"/>
        <v/>
      </c>
      <c r="U13" s="358" t="str">
        <f t="shared" si="9"/>
        <v/>
      </c>
      <c r="V13" s="422" t="str">
        <f t="shared" si="10"/>
        <v/>
      </c>
      <c r="W13" s="351" t="str">
        <f t="shared" si="11"/>
        <v/>
      </c>
      <c r="X13" s="475" t="str">
        <f t="shared" si="12"/>
        <v/>
      </c>
      <c r="Y13" s="363" t="str">
        <f t="shared" si="13"/>
        <v/>
      </c>
      <c r="Z13" s="159"/>
      <c r="AA13" s="171" t="str">
        <f t="shared" si="14"/>
        <v>15.0</v>
      </c>
      <c r="AB13" s="166" t="str">
        <f t="shared" si="15"/>
        <v>20.0</v>
      </c>
      <c r="AC13" s="166" t="str">
        <f t="shared" si="16"/>
        <v>25.0</v>
      </c>
      <c r="AD13" s="166" t="str">
        <f t="shared" si="17"/>
        <v>30.0</v>
      </c>
      <c r="AE13" s="441" t="str">
        <f t="shared" si="18"/>
        <v>40.0</v>
      </c>
    </row>
    <row r="14" spans="1:31" ht="14" x14ac:dyDescent="0.2">
      <c r="A14" s="71"/>
      <c r="B14" s="99">
        <v>8</v>
      </c>
      <c r="C14" s="100"/>
      <c r="D14" s="145" t="str">
        <f t="shared" si="0"/>
        <v/>
      </c>
      <c r="E14" s="180"/>
      <c r="F14" s="102">
        <v>8</v>
      </c>
      <c r="G14" s="103"/>
      <c r="H14" s="100" t="str">
        <f t="shared" si="1"/>
        <v/>
      </c>
      <c r="I14" s="104" t="str">
        <f t="shared" si="2"/>
        <v/>
      </c>
      <c r="J14" s="102"/>
      <c r="K14" s="105" t="str">
        <f t="shared" si="3"/>
        <v/>
      </c>
      <c r="L14" s="103" t="str">
        <f t="shared" si="4"/>
        <v/>
      </c>
      <c r="M14" s="106" t="str">
        <f t="shared" si="5"/>
        <v/>
      </c>
      <c r="N14" s="107" t="str">
        <f t="shared" si="6"/>
        <v/>
      </c>
      <c r="O14" s="108"/>
      <c r="P14" s="142"/>
      <c r="Q14" s="110"/>
      <c r="R14" s="151"/>
      <c r="S14" s="167" t="str">
        <f t="shared" si="7"/>
        <v/>
      </c>
      <c r="T14" s="168" t="str">
        <f t="shared" si="8"/>
        <v/>
      </c>
      <c r="U14" s="358" t="str">
        <f t="shared" si="9"/>
        <v/>
      </c>
      <c r="V14" s="422" t="str">
        <f t="shared" si="10"/>
        <v/>
      </c>
      <c r="W14" s="351" t="str">
        <f t="shared" si="11"/>
        <v/>
      </c>
      <c r="X14" s="475" t="str">
        <f t="shared" si="12"/>
        <v/>
      </c>
      <c r="Y14" s="363" t="str">
        <f t="shared" si="13"/>
        <v/>
      </c>
      <c r="Z14" s="159"/>
      <c r="AA14" s="171" t="str">
        <f t="shared" si="14"/>
        <v>15.0</v>
      </c>
      <c r="AB14" s="166" t="str">
        <f t="shared" si="15"/>
        <v>20.0</v>
      </c>
      <c r="AC14" s="166" t="str">
        <f t="shared" si="16"/>
        <v>25.0</v>
      </c>
      <c r="AD14" s="166" t="str">
        <f t="shared" si="17"/>
        <v>30.0</v>
      </c>
      <c r="AE14" s="441" t="str">
        <f t="shared" si="18"/>
        <v>40.0</v>
      </c>
    </row>
    <row r="15" spans="1:31" ht="14" x14ac:dyDescent="0.2">
      <c r="A15" s="71"/>
      <c r="B15" s="99">
        <v>9</v>
      </c>
      <c r="C15" s="100"/>
      <c r="D15" s="145" t="str">
        <f t="shared" si="0"/>
        <v/>
      </c>
      <c r="E15" s="180"/>
      <c r="F15" s="102">
        <v>9</v>
      </c>
      <c r="G15" s="103"/>
      <c r="H15" s="100" t="str">
        <f t="shared" si="1"/>
        <v/>
      </c>
      <c r="I15" s="104" t="str">
        <f t="shared" si="2"/>
        <v/>
      </c>
      <c r="J15" s="102"/>
      <c r="K15" s="105" t="str">
        <f t="shared" si="3"/>
        <v/>
      </c>
      <c r="L15" s="103" t="str">
        <f t="shared" si="4"/>
        <v/>
      </c>
      <c r="M15" s="106" t="str">
        <f t="shared" si="5"/>
        <v/>
      </c>
      <c r="N15" s="107" t="str">
        <f t="shared" si="6"/>
        <v/>
      </c>
      <c r="O15" s="108"/>
      <c r="P15" s="304"/>
      <c r="Q15" s="110"/>
      <c r="R15" s="151"/>
      <c r="S15" s="167" t="str">
        <f t="shared" si="7"/>
        <v/>
      </c>
      <c r="T15" s="168" t="str">
        <f t="shared" si="8"/>
        <v/>
      </c>
      <c r="U15" s="358" t="str">
        <f t="shared" si="9"/>
        <v/>
      </c>
      <c r="V15" s="422" t="str">
        <f t="shared" si="10"/>
        <v/>
      </c>
      <c r="W15" s="351" t="str">
        <f t="shared" si="11"/>
        <v/>
      </c>
      <c r="X15" s="475" t="str">
        <f t="shared" si="12"/>
        <v/>
      </c>
      <c r="Y15" s="363" t="str">
        <f t="shared" si="13"/>
        <v/>
      </c>
      <c r="Z15" s="159"/>
      <c r="AA15" s="171" t="str">
        <f t="shared" si="14"/>
        <v>15.0</v>
      </c>
      <c r="AB15" s="166" t="str">
        <f t="shared" si="15"/>
        <v>20.0</v>
      </c>
      <c r="AC15" s="166" t="str">
        <f t="shared" si="16"/>
        <v>25.0</v>
      </c>
      <c r="AD15" s="166" t="str">
        <f t="shared" si="17"/>
        <v>30.0</v>
      </c>
      <c r="AE15" s="441" t="str">
        <f t="shared" si="18"/>
        <v>40.0</v>
      </c>
    </row>
    <row r="16" spans="1:31" ht="14" x14ac:dyDescent="0.2">
      <c r="A16" s="71"/>
      <c r="B16" s="111">
        <v>10</v>
      </c>
      <c r="C16" s="112"/>
      <c r="D16" s="113" t="str">
        <f t="shared" si="0"/>
        <v/>
      </c>
      <c r="E16" s="181"/>
      <c r="F16" s="114">
        <v>10</v>
      </c>
      <c r="G16" s="115"/>
      <c r="H16" s="112" t="str">
        <f t="shared" si="1"/>
        <v/>
      </c>
      <c r="I16" s="126" t="str">
        <f t="shared" si="2"/>
        <v/>
      </c>
      <c r="J16" s="114"/>
      <c r="K16" s="128" t="str">
        <f t="shared" si="3"/>
        <v/>
      </c>
      <c r="L16" s="115" t="str">
        <f t="shared" si="4"/>
        <v/>
      </c>
      <c r="M16" s="129" t="str">
        <f t="shared" si="5"/>
        <v/>
      </c>
      <c r="N16" s="130" t="str">
        <f t="shared" si="6"/>
        <v/>
      </c>
      <c r="O16" s="131"/>
      <c r="P16" s="177"/>
      <c r="Q16" s="125"/>
      <c r="R16" s="151"/>
      <c r="S16" s="167" t="str">
        <f t="shared" si="7"/>
        <v/>
      </c>
      <c r="T16" s="168" t="str">
        <f t="shared" si="8"/>
        <v/>
      </c>
      <c r="U16" s="358" t="str">
        <f t="shared" si="9"/>
        <v/>
      </c>
      <c r="V16" s="422" t="str">
        <f t="shared" si="10"/>
        <v/>
      </c>
      <c r="W16" s="351" t="str">
        <f t="shared" si="11"/>
        <v/>
      </c>
      <c r="X16" s="475" t="str">
        <f t="shared" si="12"/>
        <v/>
      </c>
      <c r="Y16" s="363" t="str">
        <f t="shared" si="13"/>
        <v/>
      </c>
      <c r="Z16" s="159"/>
      <c r="AA16" s="171" t="str">
        <f t="shared" si="14"/>
        <v>15.0</v>
      </c>
      <c r="AB16" s="166" t="str">
        <f t="shared" si="15"/>
        <v>20.0</v>
      </c>
      <c r="AC16" s="166" t="str">
        <f t="shared" si="16"/>
        <v>25.0</v>
      </c>
      <c r="AD16" s="166" t="str">
        <f t="shared" si="17"/>
        <v>30.0</v>
      </c>
      <c r="AE16" s="441" t="str">
        <f t="shared" si="18"/>
        <v>40.0</v>
      </c>
    </row>
    <row r="17" spans="1:31" ht="14" x14ac:dyDescent="0.2">
      <c r="A17" s="71"/>
      <c r="B17" s="88">
        <v>11</v>
      </c>
      <c r="C17" s="89"/>
      <c r="D17" s="145" t="str">
        <f t="shared" si="0"/>
        <v/>
      </c>
      <c r="E17" s="179"/>
      <c r="F17" s="91">
        <v>11</v>
      </c>
      <c r="G17" s="92"/>
      <c r="H17" s="132" t="str">
        <f t="shared" si="1"/>
        <v/>
      </c>
      <c r="I17" s="133" t="str">
        <f t="shared" si="2"/>
        <v/>
      </c>
      <c r="J17" s="301"/>
      <c r="K17" s="135" t="str">
        <f t="shared" si="3"/>
        <v/>
      </c>
      <c r="L17" s="136" t="str">
        <f t="shared" si="4"/>
        <v/>
      </c>
      <c r="M17" s="137" t="str">
        <f t="shared" si="5"/>
        <v/>
      </c>
      <c r="N17" s="138" t="str">
        <f t="shared" si="6"/>
        <v/>
      </c>
      <c r="O17" s="97"/>
      <c r="P17" s="178"/>
      <c r="Q17" s="98"/>
      <c r="R17" s="151"/>
      <c r="S17" s="167" t="str">
        <f t="shared" si="7"/>
        <v/>
      </c>
      <c r="T17" s="168" t="str">
        <f t="shared" si="8"/>
        <v/>
      </c>
      <c r="U17" s="358" t="str">
        <f t="shared" si="9"/>
        <v/>
      </c>
      <c r="V17" s="422" t="str">
        <f t="shared" si="10"/>
        <v/>
      </c>
      <c r="W17" s="351" t="str">
        <f t="shared" si="11"/>
        <v/>
      </c>
      <c r="X17" s="475" t="str">
        <f t="shared" si="12"/>
        <v/>
      </c>
      <c r="Y17" s="363" t="str">
        <f t="shared" si="13"/>
        <v/>
      </c>
      <c r="Z17" s="159"/>
      <c r="AA17" s="171" t="str">
        <f t="shared" si="14"/>
        <v>15.0</v>
      </c>
      <c r="AB17" s="166" t="str">
        <f t="shared" si="15"/>
        <v>20.0</v>
      </c>
      <c r="AC17" s="166" t="str">
        <f t="shared" si="16"/>
        <v>25.0</v>
      </c>
      <c r="AD17" s="166" t="str">
        <f t="shared" si="17"/>
        <v>30.0</v>
      </c>
      <c r="AE17" s="441" t="str">
        <f t="shared" si="18"/>
        <v>40.0</v>
      </c>
    </row>
    <row r="18" spans="1:31" ht="14" x14ac:dyDescent="0.2">
      <c r="A18" s="71"/>
      <c r="B18" s="99">
        <v>12</v>
      </c>
      <c r="C18" s="100"/>
      <c r="D18" s="145" t="str">
        <f t="shared" si="0"/>
        <v/>
      </c>
      <c r="E18" s="180"/>
      <c r="F18" s="102">
        <v>12</v>
      </c>
      <c r="G18" s="103"/>
      <c r="H18" s="100" t="str">
        <f t="shared" si="1"/>
        <v/>
      </c>
      <c r="I18" s="104" t="str">
        <f t="shared" si="2"/>
        <v/>
      </c>
      <c r="J18" s="176"/>
      <c r="K18" s="105" t="str">
        <f t="shared" si="3"/>
        <v/>
      </c>
      <c r="L18" s="103" t="str">
        <f t="shared" si="4"/>
        <v/>
      </c>
      <c r="M18" s="106" t="str">
        <f t="shared" si="5"/>
        <v/>
      </c>
      <c r="N18" s="107" t="str">
        <f t="shared" si="6"/>
        <v/>
      </c>
      <c r="O18" s="108"/>
      <c r="P18" s="142"/>
      <c r="Q18" s="110"/>
      <c r="R18" s="151"/>
      <c r="S18" s="167" t="str">
        <f t="shared" si="7"/>
        <v/>
      </c>
      <c r="T18" s="168" t="str">
        <f t="shared" si="8"/>
        <v/>
      </c>
      <c r="U18" s="358" t="str">
        <f t="shared" si="9"/>
        <v/>
      </c>
      <c r="V18" s="422" t="str">
        <f t="shared" si="10"/>
        <v/>
      </c>
      <c r="W18" s="351" t="str">
        <f t="shared" si="11"/>
        <v/>
      </c>
      <c r="X18" s="475" t="str">
        <f t="shared" si="12"/>
        <v/>
      </c>
      <c r="Y18" s="363" t="str">
        <f t="shared" si="13"/>
        <v/>
      </c>
      <c r="Z18" s="159"/>
      <c r="AA18" s="171" t="str">
        <f t="shared" si="14"/>
        <v>15.0</v>
      </c>
      <c r="AB18" s="166" t="str">
        <f t="shared" si="15"/>
        <v>20.0</v>
      </c>
      <c r="AC18" s="166" t="str">
        <f t="shared" si="16"/>
        <v>25.0</v>
      </c>
      <c r="AD18" s="166" t="str">
        <f t="shared" si="17"/>
        <v>30.0</v>
      </c>
      <c r="AE18" s="441" t="str">
        <f t="shared" si="18"/>
        <v>40.0</v>
      </c>
    </row>
    <row r="19" spans="1:31" ht="14" x14ac:dyDescent="0.2">
      <c r="A19" s="71"/>
      <c r="B19" s="99">
        <v>13</v>
      </c>
      <c r="C19" s="100"/>
      <c r="D19" s="145" t="str">
        <f t="shared" si="0"/>
        <v/>
      </c>
      <c r="E19" s="180"/>
      <c r="F19" s="102">
        <v>13</v>
      </c>
      <c r="G19" s="103"/>
      <c r="H19" s="100" t="str">
        <f t="shared" si="1"/>
        <v/>
      </c>
      <c r="I19" s="104" t="str">
        <f t="shared" si="2"/>
        <v/>
      </c>
      <c r="J19" s="102"/>
      <c r="K19" s="105" t="str">
        <f t="shared" si="3"/>
        <v/>
      </c>
      <c r="L19" s="103" t="str">
        <f t="shared" si="4"/>
        <v/>
      </c>
      <c r="M19" s="106" t="str">
        <f t="shared" si="5"/>
        <v/>
      </c>
      <c r="N19" s="107" t="str">
        <f t="shared" si="6"/>
        <v/>
      </c>
      <c r="O19" s="108"/>
      <c r="P19" s="142"/>
      <c r="Q19" s="110"/>
      <c r="R19" s="151"/>
      <c r="S19" s="167" t="str">
        <f t="shared" si="7"/>
        <v/>
      </c>
      <c r="T19" s="168" t="str">
        <f t="shared" si="8"/>
        <v/>
      </c>
      <c r="U19" s="358" t="str">
        <f t="shared" si="9"/>
        <v/>
      </c>
      <c r="V19" s="422" t="str">
        <f t="shared" si="10"/>
        <v/>
      </c>
      <c r="W19" s="351" t="str">
        <f t="shared" si="11"/>
        <v/>
      </c>
      <c r="X19" s="475" t="str">
        <f t="shared" si="12"/>
        <v/>
      </c>
      <c r="Y19" s="363" t="str">
        <f t="shared" si="13"/>
        <v/>
      </c>
      <c r="Z19" s="159"/>
      <c r="AA19" s="171" t="str">
        <f t="shared" si="14"/>
        <v>15.0</v>
      </c>
      <c r="AB19" s="166" t="str">
        <f t="shared" si="15"/>
        <v>20.0</v>
      </c>
      <c r="AC19" s="166" t="str">
        <f t="shared" si="16"/>
        <v>25.0</v>
      </c>
      <c r="AD19" s="166" t="str">
        <f t="shared" si="17"/>
        <v>30.0</v>
      </c>
      <c r="AE19" s="441" t="str">
        <f t="shared" si="18"/>
        <v>40.0</v>
      </c>
    </row>
    <row r="20" spans="1:31" ht="14" x14ac:dyDescent="0.2">
      <c r="A20" s="71"/>
      <c r="B20" s="99">
        <v>14</v>
      </c>
      <c r="C20" s="100"/>
      <c r="D20" s="145" t="str">
        <f t="shared" si="0"/>
        <v/>
      </c>
      <c r="E20" s="180"/>
      <c r="F20" s="102">
        <v>14</v>
      </c>
      <c r="G20" s="103"/>
      <c r="H20" s="100" t="str">
        <f t="shared" si="1"/>
        <v/>
      </c>
      <c r="I20" s="104" t="str">
        <f t="shared" si="2"/>
        <v/>
      </c>
      <c r="J20" s="176"/>
      <c r="K20" s="105" t="str">
        <f t="shared" si="3"/>
        <v/>
      </c>
      <c r="L20" s="103" t="str">
        <f t="shared" si="4"/>
        <v/>
      </c>
      <c r="M20" s="106" t="str">
        <f t="shared" si="5"/>
        <v/>
      </c>
      <c r="N20" s="107" t="str">
        <f t="shared" si="6"/>
        <v/>
      </c>
      <c r="O20" s="108"/>
      <c r="P20" s="305"/>
      <c r="Q20" s="110"/>
      <c r="R20" s="151"/>
      <c r="S20" s="167" t="str">
        <f t="shared" si="7"/>
        <v/>
      </c>
      <c r="T20" s="168" t="str">
        <f t="shared" si="8"/>
        <v/>
      </c>
      <c r="U20" s="358" t="str">
        <f t="shared" si="9"/>
        <v/>
      </c>
      <c r="V20" s="422" t="str">
        <f t="shared" si="10"/>
        <v/>
      </c>
      <c r="W20" s="351" t="str">
        <f t="shared" si="11"/>
        <v/>
      </c>
      <c r="X20" s="475" t="str">
        <f t="shared" si="12"/>
        <v/>
      </c>
      <c r="Y20" s="363" t="str">
        <f t="shared" si="13"/>
        <v/>
      </c>
      <c r="Z20" s="159"/>
      <c r="AA20" s="171" t="str">
        <f t="shared" si="14"/>
        <v>15.0</v>
      </c>
      <c r="AB20" s="166" t="str">
        <f t="shared" si="15"/>
        <v>20.0</v>
      </c>
      <c r="AC20" s="166" t="str">
        <f t="shared" si="16"/>
        <v>25.0</v>
      </c>
      <c r="AD20" s="166" t="str">
        <f t="shared" si="17"/>
        <v>30.0</v>
      </c>
      <c r="AE20" s="441" t="str">
        <f t="shared" si="18"/>
        <v>40.0</v>
      </c>
    </row>
    <row r="21" spans="1:31" ht="14" x14ac:dyDescent="0.2">
      <c r="A21" s="71"/>
      <c r="B21" s="111">
        <v>15</v>
      </c>
      <c r="C21" s="307"/>
      <c r="D21" s="113" t="str">
        <f t="shared" si="0"/>
        <v/>
      </c>
      <c r="E21" s="114"/>
      <c r="F21" s="114">
        <v>15</v>
      </c>
      <c r="G21" s="115"/>
      <c r="H21" s="112" t="str">
        <f t="shared" si="1"/>
        <v/>
      </c>
      <c r="I21" s="126" t="str">
        <f t="shared" si="2"/>
        <v/>
      </c>
      <c r="J21" s="114"/>
      <c r="K21" s="128" t="str">
        <f t="shared" si="3"/>
        <v/>
      </c>
      <c r="L21" s="115" t="str">
        <f t="shared" si="4"/>
        <v/>
      </c>
      <c r="M21" s="129" t="str">
        <f t="shared" si="5"/>
        <v/>
      </c>
      <c r="N21" s="130" t="str">
        <f t="shared" si="6"/>
        <v/>
      </c>
      <c r="O21" s="131"/>
      <c r="P21" s="177"/>
      <c r="Q21" s="125"/>
      <c r="R21" s="151"/>
      <c r="S21" s="167" t="str">
        <f t="shared" si="7"/>
        <v/>
      </c>
      <c r="T21" s="168" t="str">
        <f t="shared" si="8"/>
        <v/>
      </c>
      <c r="U21" s="358" t="str">
        <f t="shared" si="9"/>
        <v/>
      </c>
      <c r="V21" s="422" t="str">
        <f t="shared" si="10"/>
        <v/>
      </c>
      <c r="W21" s="351" t="str">
        <f t="shared" si="11"/>
        <v/>
      </c>
      <c r="X21" s="475" t="str">
        <f t="shared" si="12"/>
        <v/>
      </c>
      <c r="Y21" s="363" t="str">
        <f t="shared" si="13"/>
        <v/>
      </c>
      <c r="Z21" s="159"/>
      <c r="AA21" s="171" t="str">
        <f t="shared" si="14"/>
        <v>15.0</v>
      </c>
      <c r="AB21" s="166" t="str">
        <f t="shared" si="15"/>
        <v>20.0</v>
      </c>
      <c r="AC21" s="166" t="str">
        <f t="shared" si="16"/>
        <v>25.0</v>
      </c>
      <c r="AD21" s="166" t="str">
        <f t="shared" si="17"/>
        <v>30.0</v>
      </c>
      <c r="AE21" s="441" t="str">
        <f t="shared" si="18"/>
        <v>40.0</v>
      </c>
    </row>
    <row r="22" spans="1:31" ht="14" x14ac:dyDescent="0.2">
      <c r="A22" s="71"/>
      <c r="B22" s="140">
        <v>16</v>
      </c>
      <c r="C22" s="132"/>
      <c r="D22" s="145" t="str">
        <f t="shared" si="0"/>
        <v/>
      </c>
      <c r="E22" s="308"/>
      <c r="F22" s="134">
        <v>16</v>
      </c>
      <c r="G22" s="136"/>
      <c r="H22" s="132" t="str">
        <f t="shared" si="1"/>
        <v/>
      </c>
      <c r="I22" s="133" t="str">
        <f t="shared" si="2"/>
        <v/>
      </c>
      <c r="J22" s="301"/>
      <c r="K22" s="135" t="str">
        <f t="shared" si="3"/>
        <v/>
      </c>
      <c r="L22" s="136" t="str">
        <f t="shared" si="4"/>
        <v/>
      </c>
      <c r="M22" s="137" t="str">
        <f t="shared" si="5"/>
        <v/>
      </c>
      <c r="N22" s="138" t="str">
        <f t="shared" si="6"/>
        <v/>
      </c>
      <c r="O22" s="139"/>
      <c r="P22" s="306"/>
      <c r="Q22" s="141"/>
      <c r="R22" s="151"/>
      <c r="S22" s="167" t="str">
        <f t="shared" si="7"/>
        <v/>
      </c>
      <c r="T22" s="168" t="str">
        <f t="shared" si="8"/>
        <v/>
      </c>
      <c r="U22" s="358" t="str">
        <f t="shared" si="9"/>
        <v/>
      </c>
      <c r="V22" s="422" t="str">
        <f t="shared" si="10"/>
        <v/>
      </c>
      <c r="W22" s="351" t="str">
        <f t="shared" si="11"/>
        <v/>
      </c>
      <c r="X22" s="475" t="str">
        <f t="shared" si="12"/>
        <v/>
      </c>
      <c r="Y22" s="363" t="str">
        <f t="shared" si="13"/>
        <v/>
      </c>
      <c r="Z22" s="159"/>
      <c r="AA22" s="171" t="str">
        <f t="shared" si="14"/>
        <v>15.0</v>
      </c>
      <c r="AB22" s="166" t="str">
        <f t="shared" si="15"/>
        <v>20.0</v>
      </c>
      <c r="AC22" s="166" t="str">
        <f t="shared" si="16"/>
        <v>25.0</v>
      </c>
      <c r="AD22" s="166" t="str">
        <f t="shared" si="17"/>
        <v>30.0</v>
      </c>
      <c r="AE22" s="441" t="str">
        <f t="shared" si="18"/>
        <v>40.0</v>
      </c>
    </row>
    <row r="23" spans="1:31" ht="14" x14ac:dyDescent="0.2">
      <c r="A23" s="71"/>
      <c r="B23" s="99">
        <v>17</v>
      </c>
      <c r="C23" s="100"/>
      <c r="D23" s="145" t="str">
        <f t="shared" si="0"/>
        <v/>
      </c>
      <c r="E23" s="102"/>
      <c r="F23" s="102">
        <v>17</v>
      </c>
      <c r="G23" s="103"/>
      <c r="H23" s="100" t="str">
        <f t="shared" si="1"/>
        <v/>
      </c>
      <c r="I23" s="104" t="str">
        <f t="shared" si="2"/>
        <v/>
      </c>
      <c r="J23" s="102"/>
      <c r="K23" s="105" t="str">
        <f t="shared" si="3"/>
        <v/>
      </c>
      <c r="L23" s="103" t="str">
        <f t="shared" si="4"/>
        <v/>
      </c>
      <c r="M23" s="106" t="str">
        <f t="shared" si="5"/>
        <v/>
      </c>
      <c r="N23" s="107" t="str">
        <f t="shared" si="6"/>
        <v/>
      </c>
      <c r="O23" s="108"/>
      <c r="P23" s="142"/>
      <c r="Q23" s="110"/>
      <c r="R23" s="151"/>
      <c r="S23" s="167" t="str">
        <f t="shared" si="7"/>
        <v/>
      </c>
      <c r="T23" s="168" t="str">
        <f t="shared" si="8"/>
        <v/>
      </c>
      <c r="U23" s="358" t="str">
        <f t="shared" si="9"/>
        <v/>
      </c>
      <c r="V23" s="422" t="str">
        <f t="shared" si="10"/>
        <v/>
      </c>
      <c r="W23" s="351" t="str">
        <f t="shared" si="11"/>
        <v/>
      </c>
      <c r="X23" s="475" t="str">
        <f t="shared" si="12"/>
        <v/>
      </c>
      <c r="Y23" s="363" t="str">
        <f t="shared" si="13"/>
        <v/>
      </c>
      <c r="Z23" s="159"/>
      <c r="AA23" s="171" t="str">
        <f t="shared" si="14"/>
        <v>15.0</v>
      </c>
      <c r="AB23" s="166" t="str">
        <f t="shared" si="15"/>
        <v>20.0</v>
      </c>
      <c r="AC23" s="166" t="str">
        <f t="shared" si="16"/>
        <v>25.0</v>
      </c>
      <c r="AD23" s="166" t="str">
        <f t="shared" si="17"/>
        <v>30.0</v>
      </c>
      <c r="AE23" s="441" t="str">
        <f t="shared" si="18"/>
        <v>40.0</v>
      </c>
    </row>
    <row r="24" spans="1:31" ht="14" x14ac:dyDescent="0.2">
      <c r="A24" s="71"/>
      <c r="B24" s="140"/>
      <c r="C24" s="100"/>
      <c r="D24" s="145" t="str">
        <f t="shared" si="0"/>
        <v/>
      </c>
      <c r="E24" s="102"/>
      <c r="F24" s="102"/>
      <c r="G24" s="103"/>
      <c r="H24" s="100"/>
      <c r="I24" s="104"/>
      <c r="J24" s="102"/>
      <c r="K24" s="105"/>
      <c r="L24" s="103"/>
      <c r="M24" s="106"/>
      <c r="N24" s="107"/>
      <c r="O24" s="108"/>
      <c r="P24" s="143"/>
      <c r="Q24" s="110"/>
      <c r="R24" s="151"/>
      <c r="S24" s="167" t="str">
        <f t="shared" si="7"/>
        <v/>
      </c>
      <c r="T24" s="168" t="str">
        <f t="shared" si="8"/>
        <v/>
      </c>
      <c r="U24" s="358" t="str">
        <f t="shared" si="9"/>
        <v/>
      </c>
      <c r="V24" s="422" t="str">
        <f t="shared" si="10"/>
        <v/>
      </c>
      <c r="W24" s="351" t="str">
        <f t="shared" si="11"/>
        <v/>
      </c>
      <c r="X24" s="475" t="str">
        <f t="shared" si="12"/>
        <v/>
      </c>
      <c r="Y24" s="363" t="str">
        <f t="shared" si="13"/>
        <v/>
      </c>
      <c r="Z24" s="159"/>
      <c r="AA24" s="171" t="str">
        <f t="shared" si="14"/>
        <v/>
      </c>
      <c r="AB24" s="166" t="str">
        <f t="shared" si="15"/>
        <v/>
      </c>
      <c r="AC24" s="166" t="str">
        <f t="shared" si="16"/>
        <v/>
      </c>
      <c r="AD24" s="166" t="str">
        <f t="shared" si="17"/>
        <v/>
      </c>
      <c r="AE24" s="441" t="str">
        <f t="shared" si="18"/>
        <v/>
      </c>
    </row>
    <row r="25" spans="1:31" ht="14" x14ac:dyDescent="0.2">
      <c r="A25" s="71"/>
      <c r="B25" s="99"/>
      <c r="C25" s="100"/>
      <c r="D25" s="145" t="str">
        <f t="shared" si="0"/>
        <v/>
      </c>
      <c r="E25" s="102"/>
      <c r="F25" s="102"/>
      <c r="G25" s="103"/>
      <c r="H25" s="100"/>
      <c r="I25" s="104"/>
      <c r="J25" s="102"/>
      <c r="K25" s="105"/>
      <c r="L25" s="103"/>
      <c r="M25" s="106"/>
      <c r="N25" s="107"/>
      <c r="O25" s="108"/>
      <c r="P25" s="143"/>
      <c r="Q25" s="110"/>
      <c r="R25" s="151"/>
      <c r="S25" s="167" t="str">
        <f t="shared" si="7"/>
        <v/>
      </c>
      <c r="T25" s="168" t="str">
        <f t="shared" si="8"/>
        <v/>
      </c>
      <c r="U25" s="358" t="str">
        <f t="shared" si="9"/>
        <v/>
      </c>
      <c r="V25" s="422" t="str">
        <f t="shared" si="10"/>
        <v/>
      </c>
      <c r="W25" s="351" t="str">
        <f t="shared" si="11"/>
        <v/>
      </c>
      <c r="X25" s="475" t="str">
        <f t="shared" si="12"/>
        <v/>
      </c>
      <c r="Y25" s="363" t="str">
        <f t="shared" si="13"/>
        <v/>
      </c>
      <c r="Z25" s="159"/>
      <c r="AA25" s="171" t="str">
        <f t="shared" si="14"/>
        <v/>
      </c>
      <c r="AB25" s="166" t="str">
        <f t="shared" si="15"/>
        <v/>
      </c>
      <c r="AC25" s="166" t="str">
        <f t="shared" si="16"/>
        <v/>
      </c>
      <c r="AD25" s="166" t="str">
        <f t="shared" si="17"/>
        <v/>
      </c>
      <c r="AE25" s="441" t="str">
        <f t="shared" si="18"/>
        <v/>
      </c>
    </row>
    <row r="26" spans="1:31" ht="14" x14ac:dyDescent="0.2">
      <c r="A26" s="71"/>
      <c r="B26" s="111"/>
      <c r="C26" s="112"/>
      <c r="D26" s="113" t="str">
        <f t="shared" si="0"/>
        <v/>
      </c>
      <c r="E26" s="114"/>
      <c r="F26" s="114"/>
      <c r="G26" s="115"/>
      <c r="H26" s="112" t="str">
        <f>IFERROR(IF(G26-$Q$2&lt;=0,"",(G26-$Q$2)*86400),"")</f>
        <v/>
      </c>
      <c r="I26" s="126" t="str">
        <f>IF($I$6="Ⅰ",V26,IF($I$6="Ⅱ",W26,IF($I$6="Ⅲ",X26,"")))</f>
        <v/>
      </c>
      <c r="J26" s="114"/>
      <c r="K26" s="128" t="str">
        <f>IFERROR(H26*(1+0.01*J26)-I26*$N$3,"")</f>
        <v/>
      </c>
      <c r="L26" s="115" t="str">
        <f>IFERROR((K26-$K$7)/86400,"")</f>
        <v/>
      </c>
      <c r="M26" s="129" t="str">
        <f>IFERROR((K26-$K$7)/$N$3,"")</f>
        <v/>
      </c>
      <c r="N26" s="130" t="str">
        <f>IFERROR($N$3/(H26/3600),"")</f>
        <v/>
      </c>
      <c r="O26" s="131" t="str">
        <f>IF($O$6="MAX=20",AA26,IF($O$6="MAX=30",AB26,IF($O$6="MAX=40",AC26,"")))</f>
        <v/>
      </c>
      <c r="P26" s="144"/>
      <c r="Q26" s="125"/>
      <c r="R26" s="151"/>
      <c r="S26" s="167" t="str">
        <f t="shared" si="7"/>
        <v/>
      </c>
      <c r="T26" s="168" t="str">
        <f t="shared" si="8"/>
        <v/>
      </c>
      <c r="U26" s="358" t="str">
        <f t="shared" si="9"/>
        <v/>
      </c>
      <c r="V26" s="422" t="str">
        <f t="shared" si="10"/>
        <v/>
      </c>
      <c r="W26" s="351" t="str">
        <f t="shared" si="11"/>
        <v/>
      </c>
      <c r="X26" s="475" t="str">
        <f t="shared" si="12"/>
        <v/>
      </c>
      <c r="Y26" s="363" t="str">
        <f t="shared" si="13"/>
        <v/>
      </c>
      <c r="Z26" s="159"/>
      <c r="AA26" s="171" t="str">
        <f t="shared" si="14"/>
        <v/>
      </c>
      <c r="AB26" s="166" t="str">
        <f t="shared" si="15"/>
        <v/>
      </c>
      <c r="AC26" s="166" t="str">
        <f t="shared" si="16"/>
        <v/>
      </c>
      <c r="AD26" s="166" t="str">
        <f t="shared" si="17"/>
        <v/>
      </c>
      <c r="AE26" s="441" t="str">
        <f t="shared" si="18"/>
        <v/>
      </c>
    </row>
    <row r="27" spans="1:31" ht="14" x14ac:dyDescent="0.2">
      <c r="A27" s="71"/>
      <c r="B27" s="140"/>
      <c r="C27" s="132"/>
      <c r="D27" s="145" t="str">
        <f t="shared" si="0"/>
        <v/>
      </c>
      <c r="E27" s="134"/>
      <c r="F27" s="134"/>
      <c r="G27" s="136"/>
      <c r="H27" s="89" t="str">
        <f>IFERROR(IF(G27-$Q$2&lt;=0,"",(G27-$Q$2)*86400),"")</f>
        <v/>
      </c>
      <c r="I27" s="93"/>
      <c r="J27" s="91"/>
      <c r="K27" s="94" t="str">
        <f>IFERROR(H27*(1+0.01*J27)-I27*$N$3,"")</f>
        <v/>
      </c>
      <c r="L27" s="92" t="str">
        <f>IFERROR((K27-$K$7)/86400,"")</f>
        <v/>
      </c>
      <c r="M27" s="95" t="str">
        <f>IFERROR((K27-$K$7)/$N$3,"")</f>
        <v/>
      </c>
      <c r="N27" s="96" t="str">
        <f>IFERROR($N$3/(H27/3600),"")</f>
        <v/>
      </c>
      <c r="O27" s="97"/>
      <c r="P27" s="146"/>
      <c r="Q27" s="141"/>
      <c r="R27" s="151"/>
      <c r="S27" s="167" t="str">
        <f t="shared" si="7"/>
        <v/>
      </c>
      <c r="T27" s="168" t="str">
        <f t="shared" si="8"/>
        <v/>
      </c>
      <c r="U27" s="358" t="str">
        <f t="shared" si="9"/>
        <v/>
      </c>
      <c r="V27" s="422" t="str">
        <f t="shared" si="10"/>
        <v/>
      </c>
      <c r="W27" s="351" t="str">
        <f t="shared" si="11"/>
        <v/>
      </c>
      <c r="X27" s="475" t="str">
        <f t="shared" si="12"/>
        <v/>
      </c>
      <c r="Y27" s="363" t="str">
        <f t="shared" si="13"/>
        <v/>
      </c>
      <c r="Z27" s="159"/>
      <c r="AA27" s="171" t="str">
        <f t="shared" si="14"/>
        <v/>
      </c>
      <c r="AB27" s="166" t="str">
        <f t="shared" si="15"/>
        <v/>
      </c>
      <c r="AC27" s="166" t="str">
        <f t="shared" ref="AC27:AC31" si="19">IF(ISBLANK(A27),"",IFERROR(25*($P$3+1-$B27)/$P$3,"25.0"))</f>
        <v/>
      </c>
      <c r="AD27" s="437" t="str">
        <f t="shared" ref="AD27:AD31" si="20">IF(ISBLANK(B27),"",IFERROR(30*($P$3-$B27)/($P$3-1)+10,"30.0"))</f>
        <v/>
      </c>
      <c r="AE27" s="441" t="str">
        <f t="shared" si="18"/>
        <v/>
      </c>
    </row>
    <row r="28" spans="1:31" ht="14.25" customHeight="1" x14ac:dyDescent="0.2">
      <c r="A28" s="71"/>
      <c r="B28" s="99"/>
      <c r="C28" s="100"/>
      <c r="D28" s="145" t="str">
        <f t="shared" si="0"/>
        <v/>
      </c>
      <c r="E28" s="102"/>
      <c r="F28" s="102"/>
      <c r="G28" s="103"/>
      <c r="H28" s="100"/>
      <c r="I28" s="104"/>
      <c r="J28" s="102"/>
      <c r="K28" s="105"/>
      <c r="L28" s="103"/>
      <c r="M28" s="106"/>
      <c r="N28" s="107"/>
      <c r="O28" s="108"/>
      <c r="P28" s="147"/>
      <c r="Q28" s="110"/>
      <c r="R28" s="151"/>
      <c r="S28" s="167" t="str">
        <f t="shared" si="7"/>
        <v/>
      </c>
      <c r="T28" s="168" t="str">
        <f t="shared" si="8"/>
        <v/>
      </c>
      <c r="U28" s="358" t="str">
        <f t="shared" si="9"/>
        <v/>
      </c>
      <c r="V28" s="422" t="str">
        <f t="shared" si="10"/>
        <v/>
      </c>
      <c r="W28" s="351" t="str">
        <f t="shared" si="11"/>
        <v/>
      </c>
      <c r="X28" s="475" t="str">
        <f t="shared" si="12"/>
        <v/>
      </c>
      <c r="Y28" s="363" t="str">
        <f t="shared" si="13"/>
        <v/>
      </c>
      <c r="Z28" s="159"/>
      <c r="AA28" s="171" t="str">
        <f t="shared" si="14"/>
        <v/>
      </c>
      <c r="AB28" s="166" t="str">
        <f t="shared" si="15"/>
        <v/>
      </c>
      <c r="AC28" s="166" t="str">
        <f t="shared" si="19"/>
        <v/>
      </c>
      <c r="AD28" s="437" t="str">
        <f t="shared" si="20"/>
        <v/>
      </c>
      <c r="AE28" s="441" t="str">
        <f t="shared" si="18"/>
        <v/>
      </c>
    </row>
    <row r="29" spans="1:31" ht="14" x14ac:dyDescent="0.2">
      <c r="A29" s="71"/>
      <c r="B29" s="99"/>
      <c r="C29" s="100"/>
      <c r="D29" s="145" t="str">
        <f t="shared" si="0"/>
        <v/>
      </c>
      <c r="E29" s="102"/>
      <c r="F29" s="102"/>
      <c r="G29" s="103"/>
      <c r="H29" s="100"/>
      <c r="I29" s="104"/>
      <c r="J29" s="102"/>
      <c r="K29" s="105"/>
      <c r="L29" s="103"/>
      <c r="M29" s="106"/>
      <c r="N29" s="107"/>
      <c r="O29" s="108"/>
      <c r="P29" s="143"/>
      <c r="Q29" s="110"/>
      <c r="R29" s="151"/>
      <c r="S29" s="167" t="str">
        <f t="shared" si="7"/>
        <v/>
      </c>
      <c r="T29" s="168" t="str">
        <f t="shared" si="8"/>
        <v/>
      </c>
      <c r="U29" s="358" t="str">
        <f t="shared" si="9"/>
        <v/>
      </c>
      <c r="V29" s="422" t="str">
        <f t="shared" si="10"/>
        <v/>
      </c>
      <c r="W29" s="351" t="str">
        <f t="shared" si="11"/>
        <v/>
      </c>
      <c r="X29" s="475" t="str">
        <f t="shared" si="12"/>
        <v/>
      </c>
      <c r="Y29" s="363" t="str">
        <f t="shared" si="13"/>
        <v/>
      </c>
      <c r="Z29" s="159"/>
      <c r="AA29" s="171" t="str">
        <f t="shared" si="14"/>
        <v/>
      </c>
      <c r="AB29" s="166" t="str">
        <f t="shared" si="15"/>
        <v/>
      </c>
      <c r="AC29" s="166" t="str">
        <f t="shared" si="19"/>
        <v/>
      </c>
      <c r="AD29" s="437" t="str">
        <f t="shared" si="20"/>
        <v/>
      </c>
      <c r="AE29" s="441" t="str">
        <f t="shared" si="18"/>
        <v/>
      </c>
    </row>
    <row r="30" spans="1:31" ht="14.25" customHeight="1" x14ac:dyDescent="0.2">
      <c r="A30" s="71"/>
      <c r="B30" s="99"/>
      <c r="C30" s="100"/>
      <c r="D30" s="145" t="str">
        <f t="shared" si="0"/>
        <v/>
      </c>
      <c r="E30" s="102"/>
      <c r="F30" s="102"/>
      <c r="G30" s="103"/>
      <c r="H30" s="100"/>
      <c r="I30" s="104"/>
      <c r="J30" s="102"/>
      <c r="K30" s="105"/>
      <c r="L30" s="103"/>
      <c r="M30" s="106"/>
      <c r="N30" s="107"/>
      <c r="O30" s="108"/>
      <c r="P30" s="143"/>
      <c r="Q30" s="110"/>
      <c r="R30" s="151"/>
      <c r="S30" s="167" t="str">
        <f t="shared" si="7"/>
        <v/>
      </c>
      <c r="T30" s="168" t="str">
        <f t="shared" si="8"/>
        <v/>
      </c>
      <c r="U30" s="358" t="str">
        <f t="shared" si="9"/>
        <v/>
      </c>
      <c r="V30" s="422" t="str">
        <f t="shared" si="10"/>
        <v/>
      </c>
      <c r="W30" s="351" t="str">
        <f t="shared" si="11"/>
        <v/>
      </c>
      <c r="X30" s="475" t="str">
        <f t="shared" si="12"/>
        <v/>
      </c>
      <c r="Y30" s="363" t="str">
        <f t="shared" si="13"/>
        <v/>
      </c>
      <c r="Z30" s="159"/>
      <c r="AA30" s="171" t="str">
        <f t="shared" si="14"/>
        <v/>
      </c>
      <c r="AB30" s="166" t="str">
        <f t="shared" si="15"/>
        <v/>
      </c>
      <c r="AC30" s="166" t="str">
        <f t="shared" si="19"/>
        <v/>
      </c>
      <c r="AD30" s="437" t="str">
        <f t="shared" si="20"/>
        <v/>
      </c>
      <c r="AE30" s="441" t="str">
        <f t="shared" si="18"/>
        <v/>
      </c>
    </row>
    <row r="31" spans="1:31" ht="14.5" thickBot="1" x14ac:dyDescent="0.25">
      <c r="A31" s="71"/>
      <c r="B31" s="99"/>
      <c r="C31" s="100"/>
      <c r="D31" s="145" t="str">
        <f t="shared" si="0"/>
        <v/>
      </c>
      <c r="E31" s="114"/>
      <c r="F31" s="102"/>
      <c r="G31" s="103"/>
      <c r="H31" s="112" t="str">
        <f>IFERROR(IF(G31-$Q$2&lt;=0,"",(G31-$Q$2)*86400),"")</f>
        <v/>
      </c>
      <c r="I31" s="126" t="str">
        <f>IF($I$6="Ⅰ",V31,IF($I$6="Ⅱ",W31,IF($I$6="Ⅲ",X31,"")))</f>
        <v/>
      </c>
      <c r="J31" s="114"/>
      <c r="K31" s="128" t="str">
        <f>IFERROR(H31*(1+0.01*J31)-I31*$N$3,"")</f>
        <v/>
      </c>
      <c r="L31" s="115" t="str">
        <f>IFERROR((K31-$K$7)/86400,"")</f>
        <v/>
      </c>
      <c r="M31" s="129" t="str">
        <f>IFERROR((K31-$K$7)/$N$3,"")</f>
        <v/>
      </c>
      <c r="N31" s="130" t="str">
        <f>IFERROR($N$3/(H31/3600),"")</f>
        <v/>
      </c>
      <c r="O31" s="131" t="str">
        <f>IF($O$6="MAX=20",AA31,IF($O$6="MAX=30",AB31,IF($O$6="MAX=40",AC31,"")))</f>
        <v/>
      </c>
      <c r="P31" s="144"/>
      <c r="Q31" s="125"/>
      <c r="R31" s="151"/>
      <c r="S31" s="172" t="str">
        <f t="shared" si="7"/>
        <v/>
      </c>
      <c r="T31" s="173" t="str">
        <f t="shared" si="8"/>
        <v/>
      </c>
      <c r="U31" s="415" t="str">
        <f t="shared" si="9"/>
        <v/>
      </c>
      <c r="V31" s="359" t="str">
        <f t="shared" si="10"/>
        <v/>
      </c>
      <c r="W31" s="423" t="str">
        <f t="shared" si="11"/>
        <v/>
      </c>
      <c r="X31" s="473" t="str">
        <f t="shared" si="12"/>
        <v/>
      </c>
      <c r="Y31" s="354" t="str">
        <f t="shared" si="13"/>
        <v/>
      </c>
      <c r="Z31" s="159"/>
      <c r="AA31" s="442" t="str">
        <f t="shared" ref="AA31" si="21">IF(ISBLANK(A31),"",IFERROR(15*($P$3+1-$B31)/$P$3,"15.0"))</f>
        <v/>
      </c>
      <c r="AB31" s="443" t="str">
        <f t="shared" si="15"/>
        <v/>
      </c>
      <c r="AC31" s="443" t="str">
        <f t="shared" si="19"/>
        <v/>
      </c>
      <c r="AD31" s="438" t="str">
        <f t="shared" si="20"/>
        <v/>
      </c>
      <c r="AE31" s="444" t="str">
        <f t="shared" si="18"/>
        <v/>
      </c>
    </row>
    <row r="32" spans="1:31" ht="15" customHeight="1" x14ac:dyDescent="0.25">
      <c r="A32" s="71"/>
      <c r="B32" s="584" t="s">
        <v>190</v>
      </c>
      <c r="C32" s="585"/>
      <c r="D32" s="586"/>
      <c r="E32" s="148"/>
      <c r="F32" s="429" t="s">
        <v>151</v>
      </c>
      <c r="G32" s="413" t="s">
        <v>207</v>
      </c>
      <c r="H32" s="595" t="s">
        <v>243</v>
      </c>
      <c r="I32" s="596"/>
      <c r="J32" s="596"/>
      <c r="K32" s="596"/>
      <c r="L32" s="596"/>
      <c r="M32" s="596"/>
      <c r="N32" s="596"/>
      <c r="O32" s="596"/>
      <c r="P32" s="596"/>
      <c r="Q32" s="597"/>
      <c r="R32" s="62"/>
      <c r="S32" s="154"/>
      <c r="T32" s="154"/>
      <c r="U32" s="154"/>
      <c r="X32" s="154"/>
      <c r="Y32" s="154"/>
      <c r="Z32" s="154"/>
    </row>
    <row r="33" spans="1:26" ht="15" customHeight="1" x14ac:dyDescent="0.25">
      <c r="A33" s="71"/>
      <c r="B33" s="587"/>
      <c r="C33" s="588"/>
      <c r="D33" s="589"/>
      <c r="E33" s="149"/>
      <c r="F33" s="578" t="s">
        <v>152</v>
      </c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62"/>
      <c r="S33" s="154"/>
      <c r="T33" s="154"/>
      <c r="U33" s="154"/>
      <c r="X33" s="154"/>
      <c r="Y33" s="154"/>
      <c r="Z33" s="154"/>
    </row>
    <row r="34" spans="1:26" ht="23.25" customHeight="1" x14ac:dyDescent="0.25">
      <c r="A34" s="71"/>
      <c r="B34" s="590"/>
      <c r="C34" s="591"/>
      <c r="D34" s="592"/>
      <c r="E34" s="149"/>
      <c r="F34" s="578" t="s">
        <v>153</v>
      </c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62"/>
      <c r="S34" s="154"/>
      <c r="T34" s="154"/>
      <c r="U34" s="154"/>
      <c r="X34" s="154"/>
      <c r="Y34" s="154"/>
      <c r="Z34" s="154"/>
    </row>
    <row r="35" spans="1:26" ht="22.5" customHeight="1" x14ac:dyDescent="0.25">
      <c r="A35" s="71"/>
      <c r="B35" s="604" t="s">
        <v>191</v>
      </c>
      <c r="C35" s="605"/>
      <c r="D35" s="606"/>
      <c r="E35" s="149"/>
      <c r="F35" s="578" t="s">
        <v>155</v>
      </c>
      <c r="G35" s="424">
        <f>参照ﾃﾞｰﾀ!AC12</f>
        <v>0</v>
      </c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62"/>
      <c r="S35" s="154"/>
      <c r="T35" s="154"/>
      <c r="U35" s="154"/>
      <c r="X35" s="154"/>
      <c r="Y35" s="154"/>
      <c r="Z35" s="154"/>
    </row>
    <row r="36" spans="1:26" ht="15" customHeight="1" x14ac:dyDescent="0.25">
      <c r="A36" s="71"/>
      <c r="B36" s="607"/>
      <c r="C36" s="608"/>
      <c r="D36" s="609"/>
      <c r="E36" s="425"/>
      <c r="F36" s="671"/>
      <c r="G36" s="424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62"/>
      <c r="S36" s="154"/>
      <c r="T36" s="154"/>
      <c r="U36" s="154"/>
      <c r="X36" s="154"/>
      <c r="Y36" s="154"/>
      <c r="Z36" s="154"/>
    </row>
    <row r="37" spans="1:26" ht="15" customHeight="1" x14ac:dyDescent="0.25">
      <c r="A37" s="71"/>
      <c r="B37" s="607"/>
      <c r="C37" s="608"/>
      <c r="D37" s="609"/>
      <c r="E37" s="426"/>
      <c r="F37" s="674" t="s">
        <v>154</v>
      </c>
      <c r="G37" s="6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62"/>
      <c r="S37" s="154"/>
      <c r="T37" s="154"/>
      <c r="U37" s="154"/>
      <c r="X37" s="154"/>
      <c r="Y37" s="154"/>
      <c r="Z37" s="154"/>
    </row>
    <row r="38" spans="1:26" ht="15" customHeight="1" x14ac:dyDescent="0.25">
      <c r="A38" s="71"/>
      <c r="B38" s="607"/>
      <c r="C38" s="608"/>
      <c r="D38" s="609"/>
      <c r="E38" s="427"/>
      <c r="F38" s="676" t="s">
        <v>167</v>
      </c>
      <c r="G38" s="6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62"/>
      <c r="S38" s="154"/>
      <c r="T38" s="154"/>
      <c r="U38" s="154"/>
      <c r="X38" s="154"/>
      <c r="Y38" s="154"/>
      <c r="Z38" s="154"/>
    </row>
    <row r="39" spans="1:26" ht="15" customHeight="1" x14ac:dyDescent="0.25">
      <c r="A39" s="71"/>
      <c r="B39" s="607"/>
      <c r="C39" s="608"/>
      <c r="D39" s="609"/>
      <c r="E39" s="676"/>
      <c r="F39" s="676" t="s">
        <v>155</v>
      </c>
      <c r="G39" s="6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62"/>
      <c r="S39" s="154"/>
      <c r="T39" s="154"/>
      <c r="U39" s="154"/>
      <c r="X39" s="154"/>
      <c r="Y39" s="154"/>
      <c r="Z39" s="154"/>
    </row>
    <row r="40" spans="1:26" ht="15" customHeight="1" x14ac:dyDescent="0.25">
      <c r="A40" s="71"/>
      <c r="B40" s="607"/>
      <c r="C40" s="608"/>
      <c r="D40" s="609"/>
      <c r="E40" s="676"/>
      <c r="F40" s="678"/>
      <c r="G40" s="679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62"/>
      <c r="S40" s="154"/>
      <c r="T40" s="154"/>
      <c r="U40" s="154"/>
      <c r="X40" s="154"/>
      <c r="Y40" s="154"/>
      <c r="Z40" s="154"/>
    </row>
    <row r="41" spans="1:26" ht="11.25" customHeight="1" thickBot="1" x14ac:dyDescent="0.3">
      <c r="A41" s="71"/>
      <c r="B41" s="610"/>
      <c r="C41" s="611"/>
      <c r="D41" s="612"/>
      <c r="E41" s="428"/>
      <c r="F41" s="672"/>
      <c r="G41" s="673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62"/>
      <c r="S41" s="154"/>
      <c r="T41" s="154"/>
      <c r="U41" s="154"/>
      <c r="V41" s="154"/>
      <c r="W41" s="154"/>
      <c r="X41" s="154"/>
      <c r="Y41" s="154"/>
      <c r="Z41" s="154"/>
    </row>
    <row r="42" spans="1:26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</sheetData>
  <sheetProtection algorithmName="SHA-512" hashValue="YCt8OXN1lA/tZU/lWTifuC0ndtoifdwuCbVyVodnCMCcHxYMpQuRHzkHrSy7qBf2mRAL8yaOMxhEc3qbGtAlWw==" saltValue="EUbpurlaTGTJLSqTxqtvDw==" spinCount="100000" sheet="1" objects="1" scenarios="1"/>
  <sortState xmlns:xlrd2="http://schemas.microsoft.com/office/spreadsheetml/2017/richdata2" ref="C7:F14">
    <sortCondition ref="E7:E14"/>
  </sortState>
  <mergeCells count="16">
    <mergeCell ref="D2:F2"/>
    <mergeCell ref="E3:I3"/>
    <mergeCell ref="F35:F36"/>
    <mergeCell ref="J3:K3"/>
    <mergeCell ref="P5:Q5"/>
    <mergeCell ref="B32:D34"/>
    <mergeCell ref="H32:Q41"/>
    <mergeCell ref="F33:G33"/>
    <mergeCell ref="F34:G34"/>
    <mergeCell ref="B35:D41"/>
    <mergeCell ref="F41:G41"/>
    <mergeCell ref="F37:G37"/>
    <mergeCell ref="F38:G38"/>
    <mergeCell ref="E39:E40"/>
    <mergeCell ref="F39:G39"/>
    <mergeCell ref="F40:G40"/>
  </mergeCells>
  <phoneticPr fontId="70"/>
  <dataValidations count="8">
    <dataValidation type="list" allowBlank="1" showInputMessage="1" showErrorMessage="1" sqref="P2" xr:uid="{00000000-0002-0000-0A00-000000000000}">
      <formula1>開催日</formula1>
    </dataValidation>
    <dataValidation type="list" errorStyle="warning" allowBlank="1" showInputMessage="1" showErrorMessage="1" sqref="Q2" xr:uid="{00000000-0002-0000-0A00-000001000000}">
      <formula1>時刻</formula1>
    </dataValidation>
    <dataValidation type="list" allowBlank="1" showInputMessage="1" showErrorMessage="1" sqref="J3:K3" xr:uid="{00000000-0002-0000-0A00-000002000000}">
      <formula1>暫定</formula1>
    </dataValidation>
    <dataValidation type="list" allowBlank="1" showInputMessage="1" showErrorMessage="1" sqref="G2" xr:uid="{00000000-0002-0000-0A00-000003000000}">
      <formula1>月</formula1>
    </dataValidation>
    <dataValidation type="list" allowBlank="1" showInputMessage="1" showErrorMessage="1" sqref="N2" xr:uid="{00000000-0002-0000-0A00-000004000000}">
      <formula1>コース</formula1>
    </dataValidation>
    <dataValidation type="list" showInputMessage="1" showErrorMessage="1" sqref="E3" xr:uid="{00000000-0002-0000-0A00-000005000000}">
      <formula1>レース名</formula1>
    </dataValidation>
    <dataValidation type="list" allowBlank="1" showInputMessage="1" showErrorMessage="1" sqref="I6" xr:uid="{00000000-0002-0000-0A00-000006000000}">
      <formula1>ＴＡ</formula1>
    </dataValidation>
    <dataValidation type="list" allowBlank="1" showInputMessage="1" showErrorMessage="1" sqref="D3" xr:uid="{00000000-0002-0000-0A00-000007000000}">
      <formula1>レース番号</formula1>
    </dataValidation>
  </dataValidations>
  <pageMargins left="0.31496062992125984" right="0" top="0.35433070866141736" bottom="0.19685039370078741" header="0" footer="0"/>
  <pageSetup paperSize="9" scale="9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2"/>
  <sheetViews>
    <sheetView zoomScale="85" zoomScaleNormal="85" workbookViewId="0">
      <selection activeCell="P3" sqref="P3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" style="153" hidden="1" customWidth="1"/>
    <col min="6" max="6" width="5" style="153" customWidth="1"/>
    <col min="7" max="7" width="10.90625" style="153" customWidth="1"/>
    <col min="8" max="8" width="8.363281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90625" style="153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1.6328125" style="153" customWidth="1"/>
    <col min="18" max="18" width="1.6328125" style="153" customWidth="1"/>
    <col min="19" max="19" width="4.90625" style="153" customWidth="1"/>
    <col min="20" max="22" width="7.6328125" style="153" hidden="1" customWidth="1"/>
    <col min="23" max="23" width="8.26953125" style="153" customWidth="1"/>
    <col min="24" max="26" width="7.6328125" style="153" customWidth="1"/>
    <col min="27" max="27" width="4.453125" style="153" customWidth="1"/>
    <col min="28" max="30" width="8" style="153" customWidth="1"/>
    <col min="31" max="16384" width="9" style="153"/>
  </cols>
  <sheetData>
    <row r="1" spans="1:32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32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162</v>
      </c>
      <c r="H2" s="65"/>
      <c r="I2" s="66"/>
      <c r="J2" s="62"/>
      <c r="K2" s="67"/>
      <c r="L2" s="62"/>
      <c r="M2" s="68" t="s">
        <v>33</v>
      </c>
      <c r="N2" s="518" t="s">
        <v>183</v>
      </c>
      <c r="O2" s="70" t="s">
        <v>35</v>
      </c>
      <c r="P2" s="194">
        <f>参照ﾃﾞｰﾀ!J11</f>
        <v>46250</v>
      </c>
      <c r="Q2" s="573">
        <v>0.4375</v>
      </c>
      <c r="R2" s="294"/>
      <c r="S2" s="62"/>
      <c r="T2" s="155" t="s">
        <v>2</v>
      </c>
      <c r="U2" s="154"/>
      <c r="V2" s="154"/>
      <c r="W2" s="155" t="str">
        <f>参照ＴＡ!K3</f>
        <v>2026年</v>
      </c>
      <c r="X2" s="155" t="str">
        <f>参照ＴＡ!M3</f>
        <v>8月</v>
      </c>
      <c r="Y2" s="154"/>
      <c r="Z2" s="154"/>
      <c r="AA2" s="154"/>
    </row>
    <row r="3" spans="1:32" ht="21.75" customHeight="1" thickBot="1" x14ac:dyDescent="0.35">
      <c r="A3" s="71"/>
      <c r="B3" s="62"/>
      <c r="C3" s="71"/>
      <c r="D3" s="72" t="s">
        <v>273</v>
      </c>
      <c r="E3" s="580" t="s">
        <v>45</v>
      </c>
      <c r="F3" s="580"/>
      <c r="G3" s="580"/>
      <c r="H3" s="580"/>
      <c r="I3" s="580"/>
      <c r="J3" s="581" t="s">
        <v>36</v>
      </c>
      <c r="K3" s="581"/>
      <c r="L3" s="62"/>
      <c r="M3" s="73" t="s">
        <v>56</v>
      </c>
      <c r="N3" s="74">
        <f>IF(ISBLANK(N2),"",VLOOKUP(N2,コース・距離,2,FALSE))</f>
        <v>23.8</v>
      </c>
      <c r="O3" s="75" t="s">
        <v>0</v>
      </c>
      <c r="P3" s="517">
        <v>15</v>
      </c>
      <c r="Q3" s="77" t="s">
        <v>1</v>
      </c>
      <c r="R3" s="295"/>
      <c r="S3" s="62"/>
      <c r="T3" s="154" t="s">
        <v>182</v>
      </c>
      <c r="U3" s="154"/>
      <c r="V3" s="154"/>
      <c r="W3" s="155" t="s">
        <v>2</v>
      </c>
      <c r="X3" s="154"/>
      <c r="Y3" s="154"/>
      <c r="Z3" s="154"/>
      <c r="AA3" s="154"/>
      <c r="AB3" s="156" t="s">
        <v>57</v>
      </c>
    </row>
    <row r="4" spans="1:32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154"/>
      <c r="U4" s="154"/>
      <c r="V4" s="154"/>
      <c r="W4" s="157"/>
      <c r="X4" s="154"/>
      <c r="Y4" s="154"/>
      <c r="Z4" s="154"/>
      <c r="AA4" s="154"/>
    </row>
    <row r="5" spans="1:32" ht="14" x14ac:dyDescent="0.2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296"/>
      <c r="S5" s="151"/>
      <c r="T5" s="160" t="s">
        <v>10</v>
      </c>
      <c r="U5" s="158" t="s">
        <v>10</v>
      </c>
      <c r="V5" s="161" t="s">
        <v>10</v>
      </c>
      <c r="W5" s="160" t="s">
        <v>10</v>
      </c>
      <c r="X5" s="158" t="s">
        <v>10</v>
      </c>
      <c r="Y5" s="356" t="s">
        <v>10</v>
      </c>
      <c r="Z5" s="161" t="s">
        <v>10</v>
      </c>
      <c r="AA5" s="159"/>
      <c r="AB5" s="160" t="s">
        <v>13</v>
      </c>
      <c r="AC5" s="158" t="s">
        <v>13</v>
      </c>
      <c r="AD5" s="356" t="s">
        <v>13</v>
      </c>
      <c r="AE5" s="158" t="s">
        <v>13</v>
      </c>
      <c r="AF5" s="431" t="s">
        <v>13</v>
      </c>
    </row>
    <row r="6" spans="1:32" ht="14" x14ac:dyDescent="0.2">
      <c r="A6" s="71"/>
      <c r="B6" s="81"/>
      <c r="C6" s="82" t="s">
        <v>14</v>
      </c>
      <c r="D6" s="83"/>
      <c r="E6" s="84" t="s">
        <v>15</v>
      </c>
      <c r="F6" s="84"/>
      <c r="G6" s="82" t="s">
        <v>16</v>
      </c>
      <c r="H6" s="84" t="s">
        <v>17</v>
      </c>
      <c r="I6" s="516" t="s">
        <v>265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430" t="str">
        <f>参照ﾃﾞｰﾀ!K11</f>
        <v>MAX=30</v>
      </c>
      <c r="P6" s="86"/>
      <c r="Q6" s="87"/>
      <c r="R6" s="151"/>
      <c r="S6" s="152"/>
      <c r="T6" s="164" t="s">
        <v>20</v>
      </c>
      <c r="U6" s="162" t="s">
        <v>22</v>
      </c>
      <c r="V6" s="165" t="s">
        <v>21</v>
      </c>
      <c r="W6" s="164" t="s">
        <v>20</v>
      </c>
      <c r="X6" s="162" t="s">
        <v>22</v>
      </c>
      <c r="Y6" s="471" t="s">
        <v>21</v>
      </c>
      <c r="Z6" s="165" t="s">
        <v>250</v>
      </c>
      <c r="AA6" s="163"/>
      <c r="AB6" s="439" t="s">
        <v>206</v>
      </c>
      <c r="AC6" s="430" t="s">
        <v>59</v>
      </c>
      <c r="AD6" s="440" t="s">
        <v>205</v>
      </c>
      <c r="AE6" s="430" t="s">
        <v>251</v>
      </c>
      <c r="AF6" s="436" t="s">
        <v>252</v>
      </c>
    </row>
    <row r="7" spans="1:32" ht="14" x14ac:dyDescent="0.2">
      <c r="A7" s="71"/>
      <c r="B7" s="88">
        <v>1</v>
      </c>
      <c r="C7" s="89"/>
      <c r="D7" s="90" t="str">
        <f t="shared" ref="D7:D31" si="0">IF(ISBLANK(C7),"",VLOOKUP(C7,第2月ＴＡ,2,FALSE))</f>
        <v/>
      </c>
      <c r="E7" s="179" t="str">
        <f t="shared" ref="E7:E16" si="1">IF($I$6="Ⅰ",T7,IF($I$6="Ⅱ",U7,IF($I$6="Ⅲ",V7,"")))</f>
        <v/>
      </c>
      <c r="F7" s="91">
        <v>1</v>
      </c>
      <c r="G7" s="92"/>
      <c r="H7" s="89" t="str">
        <f t="shared" ref="H7:H16" si="2">IFERROR(IF(G7-$Q$2&lt;=0,"",(G7-$Q$2)*86400),"")</f>
        <v/>
      </c>
      <c r="I7" s="93" t="str">
        <f>IF($I$6="Ⅰ",W7,IF($I$6="Ⅱ",X7,IF($I$6="Ⅲ",Y7,IF($I$6="IV",Z7,""))))</f>
        <v/>
      </c>
      <c r="J7" s="91"/>
      <c r="K7" s="94" t="str">
        <f t="shared" ref="K7:K16" si="3">IFERROR(H7*(1+0.01*J7)-I7*$N$3,"")</f>
        <v/>
      </c>
      <c r="L7" s="92" t="str">
        <f t="shared" ref="L7:L16" si="4">IFERROR((K7-$K$7)/86400,"")</f>
        <v/>
      </c>
      <c r="M7" s="95" t="str">
        <f t="shared" ref="M7:M16" si="5">IFERROR((K7-$K$7)/$N$3,"")</f>
        <v/>
      </c>
      <c r="N7" s="96" t="str">
        <f t="shared" ref="N7:N16" si="6">IFERROR($N$3/(H7/3600),"")</f>
        <v/>
      </c>
      <c r="O7" s="96">
        <f t="shared" ref="O7:O8" si="7">ROUND(IF($O$6="MAX=15",AB7,IF($O$6="MAX=20",AC7,IF($O$6="MAX=25",AD7,IF($O$6="MAX=30",AE7,IF($O$6="MAX=40",AF7))))),1)</f>
        <v>30</v>
      </c>
      <c r="P7" s="184"/>
      <c r="Q7" s="98"/>
      <c r="R7" s="151"/>
      <c r="S7" s="151"/>
      <c r="T7" s="167" t="str">
        <f t="shared" ref="T7:T31" si="8">IF(ISBLANK(C7),"",VLOOKUP(C7,各艇データ,3,FALSE))</f>
        <v/>
      </c>
      <c r="U7" s="168" t="str">
        <f t="shared" ref="U7:U31" si="9">IF(ISBLANK(C7),"",VLOOKUP(C7,各艇データ,4,FALSE))</f>
        <v/>
      </c>
      <c r="V7" s="169" t="str">
        <f t="shared" ref="V7:V31" si="10">IF(ISBLANK(C7),"",VLOOKUP(C7,各艇データ,5,FALSE))</f>
        <v/>
      </c>
      <c r="W7" s="350" t="str">
        <f t="shared" ref="W7:W31" si="11">IF(ISBLANK(C7),"",VLOOKUP(C7,第2月ＴＡ,3,FALSE))</f>
        <v/>
      </c>
      <c r="X7" s="351" t="str">
        <f t="shared" ref="X7:X31" si="12">IF(ISBLANK(C7),"",VLOOKUP(C7,第2月ＴＡ,4,FALSE))</f>
        <v/>
      </c>
      <c r="Y7" s="472" t="str">
        <f t="shared" ref="Y7:Y31" si="13">IF(ISBLANK(C7),"",VLOOKUP(C7,第2月ＴＡ,5,FALSE))</f>
        <v/>
      </c>
      <c r="Z7" s="170" t="str">
        <f t="shared" ref="Z7:Z31" si="14">IF(ISBLANK(C7),"",VLOOKUP(C7,第1月ＴＡ,6,FALSE))</f>
        <v/>
      </c>
      <c r="AA7" s="159"/>
      <c r="AB7" s="171">
        <f>IF(ISBLANK($B7),"",IFERROR(15*($P$3+1-$B7)/$P$3,"15.0"))</f>
        <v>15</v>
      </c>
      <c r="AC7" s="166">
        <f>IF(ISBLANK($B7),"",IFERROR(20*($P$3+1-$B7)/$P$3,"20.0"))</f>
        <v>20</v>
      </c>
      <c r="AD7" s="166">
        <f>IF(ISBLANK($B7),"",IFERROR(25*($P$3+1-$B7)/$P$3,"25.0"))</f>
        <v>25</v>
      </c>
      <c r="AE7" s="166">
        <f>IF(ISBLANK($B7),"",IFERROR(30*($P$3+1-$B7)/$P$3,"30.0"))</f>
        <v>30</v>
      </c>
      <c r="AF7" s="441">
        <f>IF(ISBLANK($B7),"",IFERROR(40*($P$3+1-$B7)/$P$3,"40.0"))</f>
        <v>40</v>
      </c>
    </row>
    <row r="8" spans="1:32" ht="14" x14ac:dyDescent="0.2">
      <c r="A8" s="71"/>
      <c r="B8" s="99">
        <v>2</v>
      </c>
      <c r="C8" s="100"/>
      <c r="D8" s="101" t="str">
        <f t="shared" si="0"/>
        <v/>
      </c>
      <c r="E8" s="180" t="str">
        <f t="shared" si="1"/>
        <v/>
      </c>
      <c r="F8" s="102">
        <v>2</v>
      </c>
      <c r="G8" s="103"/>
      <c r="H8" s="100" t="str">
        <f t="shared" si="2"/>
        <v/>
      </c>
      <c r="I8" s="104" t="str">
        <f t="shared" ref="I8:I31" si="15">IF($I$6="Ⅰ",W8,IF($I$6="Ⅱ",X8,IF($I$6="Ⅲ",Y8,IF($I$6="IV",Z8,""))))</f>
        <v/>
      </c>
      <c r="J8" s="102"/>
      <c r="K8" s="105" t="str">
        <f t="shared" si="3"/>
        <v/>
      </c>
      <c r="L8" s="103" t="str">
        <f t="shared" si="4"/>
        <v/>
      </c>
      <c r="M8" s="106" t="str">
        <f t="shared" si="5"/>
        <v/>
      </c>
      <c r="N8" s="107" t="str">
        <f t="shared" si="6"/>
        <v/>
      </c>
      <c r="O8" s="107">
        <f t="shared" si="7"/>
        <v>28</v>
      </c>
      <c r="P8" s="175"/>
      <c r="Q8" s="110"/>
      <c r="R8" s="151"/>
      <c r="S8" s="151"/>
      <c r="T8" s="167" t="str">
        <f t="shared" si="8"/>
        <v/>
      </c>
      <c r="U8" s="168" t="str">
        <f t="shared" si="9"/>
        <v/>
      </c>
      <c r="V8" s="169" t="str">
        <f t="shared" si="10"/>
        <v/>
      </c>
      <c r="W8" s="350" t="str">
        <f t="shared" si="11"/>
        <v/>
      </c>
      <c r="X8" s="351" t="str">
        <f t="shared" si="12"/>
        <v/>
      </c>
      <c r="Y8" s="472" t="str">
        <f t="shared" si="13"/>
        <v/>
      </c>
      <c r="Z8" s="170" t="str">
        <f t="shared" si="14"/>
        <v/>
      </c>
      <c r="AA8" s="159"/>
      <c r="AB8" s="171">
        <f t="shared" ref="AB8:AB30" si="16">IF(ISBLANK($B8),"",IFERROR(15*($P$3+1-$B8)/$P$3,"15.0"))</f>
        <v>14</v>
      </c>
      <c r="AC8" s="166">
        <f t="shared" ref="AC8:AC30" si="17">IF(ISBLANK($B8),"",IFERROR(20*($P$3+1-$B8)/$P$3,"20.0"))</f>
        <v>18.666666666666668</v>
      </c>
      <c r="AD8" s="166">
        <f t="shared" ref="AD8:AD30" si="18">IF(ISBLANK($B8),"",IFERROR(25*($P$3+1-$B8)/$P$3,"25.0"))</f>
        <v>23.333333333333332</v>
      </c>
      <c r="AE8" s="166">
        <f t="shared" ref="AE8:AE26" si="19">IF(ISBLANK($B8),"",IFERROR(30*($P$3+1-$B8)/$P$3,"30.0"))</f>
        <v>28</v>
      </c>
      <c r="AF8" s="441">
        <f t="shared" ref="AF8:AF31" si="20">IF(ISBLANK($B8),"",IFERROR(40*($P$3+1-$B8)/$P$3,"40.0"))</f>
        <v>37.333333333333336</v>
      </c>
    </row>
    <row r="9" spans="1:32" ht="14" x14ac:dyDescent="0.2">
      <c r="A9" s="71"/>
      <c r="B9" s="99">
        <v>3</v>
      </c>
      <c r="C9" s="100"/>
      <c r="D9" s="101" t="str">
        <f t="shared" si="0"/>
        <v/>
      </c>
      <c r="E9" s="180" t="str">
        <f t="shared" si="1"/>
        <v/>
      </c>
      <c r="F9" s="102">
        <v>3</v>
      </c>
      <c r="G9" s="103"/>
      <c r="H9" s="100" t="str">
        <f t="shared" si="2"/>
        <v/>
      </c>
      <c r="I9" s="104" t="str">
        <f t="shared" si="15"/>
        <v/>
      </c>
      <c r="J9" s="102"/>
      <c r="K9" s="105" t="str">
        <f t="shared" si="3"/>
        <v/>
      </c>
      <c r="L9" s="103" t="str">
        <f t="shared" si="4"/>
        <v/>
      </c>
      <c r="M9" s="106" t="str">
        <f t="shared" si="5"/>
        <v/>
      </c>
      <c r="N9" s="107" t="str">
        <f t="shared" si="6"/>
        <v/>
      </c>
      <c r="O9" s="107">
        <f>ROUND(IF($O$6="MAX=15",AB9,IF($O$6="MAX=20",AC9,IF($O$6="MAX=25",AD9,IF($O$6="MAX=30",AE9,IF($O$6="MAX=40",AF9))))),1)</f>
        <v>26</v>
      </c>
      <c r="P9" s="109"/>
      <c r="Q9" s="110"/>
      <c r="R9" s="151"/>
      <c r="S9" s="151"/>
      <c r="T9" s="167" t="str">
        <f t="shared" si="8"/>
        <v/>
      </c>
      <c r="U9" s="168" t="str">
        <f t="shared" si="9"/>
        <v/>
      </c>
      <c r="V9" s="169" t="str">
        <f t="shared" si="10"/>
        <v/>
      </c>
      <c r="W9" s="350" t="str">
        <f t="shared" si="11"/>
        <v/>
      </c>
      <c r="X9" s="351" t="str">
        <f t="shared" si="12"/>
        <v/>
      </c>
      <c r="Y9" s="472" t="str">
        <f t="shared" si="13"/>
        <v/>
      </c>
      <c r="Z9" s="170" t="str">
        <f t="shared" si="14"/>
        <v/>
      </c>
      <c r="AA9" s="159"/>
      <c r="AB9" s="171">
        <f t="shared" si="16"/>
        <v>13</v>
      </c>
      <c r="AC9" s="166">
        <f t="shared" si="17"/>
        <v>17.333333333333332</v>
      </c>
      <c r="AD9" s="166">
        <f t="shared" si="18"/>
        <v>21.666666666666668</v>
      </c>
      <c r="AE9" s="166">
        <f t="shared" si="19"/>
        <v>26</v>
      </c>
      <c r="AF9" s="441">
        <f t="shared" si="20"/>
        <v>34.666666666666664</v>
      </c>
    </row>
    <row r="10" spans="1:32" ht="14" x14ac:dyDescent="0.2">
      <c r="A10" s="71"/>
      <c r="B10" s="99">
        <v>4</v>
      </c>
      <c r="C10" s="100"/>
      <c r="D10" s="101" t="str">
        <f t="shared" si="0"/>
        <v/>
      </c>
      <c r="E10" s="180" t="str">
        <f t="shared" si="1"/>
        <v/>
      </c>
      <c r="F10" s="102">
        <v>4</v>
      </c>
      <c r="G10" s="103"/>
      <c r="H10" s="100" t="str">
        <f t="shared" si="2"/>
        <v/>
      </c>
      <c r="I10" s="104" t="str">
        <f t="shared" si="15"/>
        <v/>
      </c>
      <c r="J10" s="102"/>
      <c r="K10" s="105" t="str">
        <f t="shared" si="3"/>
        <v/>
      </c>
      <c r="L10" s="103" t="str">
        <f t="shared" si="4"/>
        <v/>
      </c>
      <c r="M10" s="106" t="str">
        <f t="shared" si="5"/>
        <v/>
      </c>
      <c r="N10" s="107" t="str">
        <f t="shared" si="6"/>
        <v/>
      </c>
      <c r="O10" s="107">
        <f t="shared" ref="O10:O31" si="21">ROUND(IF($O$6="MAX=15",AB10,IF($O$6="MAX=20",AC10,IF($O$6="MAX=25",AD10,IF($O$6="MAX=30",AE10,IF($O$6="MAX=40",AF10))))),1)</f>
        <v>24</v>
      </c>
      <c r="P10" s="109"/>
      <c r="Q10" s="110"/>
      <c r="R10" s="151"/>
      <c r="S10" s="151"/>
      <c r="T10" s="167" t="str">
        <f t="shared" si="8"/>
        <v/>
      </c>
      <c r="U10" s="168" t="str">
        <f t="shared" si="9"/>
        <v/>
      </c>
      <c r="V10" s="169" t="str">
        <f t="shared" si="10"/>
        <v/>
      </c>
      <c r="W10" s="350" t="str">
        <f t="shared" si="11"/>
        <v/>
      </c>
      <c r="X10" s="351" t="str">
        <f t="shared" si="12"/>
        <v/>
      </c>
      <c r="Y10" s="472" t="str">
        <f t="shared" si="13"/>
        <v/>
      </c>
      <c r="Z10" s="170" t="str">
        <f t="shared" si="14"/>
        <v/>
      </c>
      <c r="AA10" s="159"/>
      <c r="AB10" s="171">
        <f t="shared" si="16"/>
        <v>12</v>
      </c>
      <c r="AC10" s="166">
        <f t="shared" si="17"/>
        <v>16</v>
      </c>
      <c r="AD10" s="166">
        <f t="shared" si="18"/>
        <v>20</v>
      </c>
      <c r="AE10" s="166">
        <f t="shared" si="19"/>
        <v>24</v>
      </c>
      <c r="AF10" s="441">
        <f t="shared" si="20"/>
        <v>32</v>
      </c>
    </row>
    <row r="11" spans="1:32" ht="14" x14ac:dyDescent="0.2">
      <c r="A11" s="71"/>
      <c r="B11" s="111">
        <v>5</v>
      </c>
      <c r="C11" s="112"/>
      <c r="D11" s="113" t="str">
        <f t="shared" si="0"/>
        <v/>
      </c>
      <c r="E11" s="181" t="str">
        <f t="shared" si="1"/>
        <v/>
      </c>
      <c r="F11" s="114">
        <v>5</v>
      </c>
      <c r="G11" s="115"/>
      <c r="H11" s="116" t="str">
        <f t="shared" si="2"/>
        <v/>
      </c>
      <c r="I11" s="117" t="str">
        <f t="shared" si="15"/>
        <v/>
      </c>
      <c r="J11" s="118"/>
      <c r="K11" s="119" t="str">
        <f t="shared" si="3"/>
        <v/>
      </c>
      <c r="L11" s="120" t="str">
        <f t="shared" si="4"/>
        <v/>
      </c>
      <c r="M11" s="121" t="str">
        <f t="shared" si="5"/>
        <v/>
      </c>
      <c r="N11" s="122" t="str">
        <f t="shared" si="6"/>
        <v/>
      </c>
      <c r="O11" s="122">
        <f t="shared" si="21"/>
        <v>22</v>
      </c>
      <c r="P11" s="177"/>
      <c r="Q11" s="125"/>
      <c r="R11" s="151"/>
      <c r="S11" s="151"/>
      <c r="T11" s="167" t="str">
        <f t="shared" si="8"/>
        <v/>
      </c>
      <c r="U11" s="168" t="str">
        <f t="shared" si="9"/>
        <v/>
      </c>
      <c r="V11" s="169" t="str">
        <f t="shared" si="10"/>
        <v/>
      </c>
      <c r="W11" s="350" t="str">
        <f t="shared" si="11"/>
        <v/>
      </c>
      <c r="X11" s="351" t="str">
        <f t="shared" si="12"/>
        <v/>
      </c>
      <c r="Y11" s="472" t="str">
        <f t="shared" si="13"/>
        <v/>
      </c>
      <c r="Z11" s="170" t="str">
        <f t="shared" si="14"/>
        <v/>
      </c>
      <c r="AA11" s="159"/>
      <c r="AB11" s="171">
        <f t="shared" si="16"/>
        <v>11</v>
      </c>
      <c r="AC11" s="166">
        <f t="shared" si="17"/>
        <v>14.666666666666666</v>
      </c>
      <c r="AD11" s="166">
        <f t="shared" si="18"/>
        <v>18.333333333333332</v>
      </c>
      <c r="AE11" s="166">
        <f t="shared" si="19"/>
        <v>22</v>
      </c>
      <c r="AF11" s="441">
        <f t="shared" si="20"/>
        <v>29.333333333333332</v>
      </c>
    </row>
    <row r="12" spans="1:32" ht="14" x14ac:dyDescent="0.2">
      <c r="A12" s="71"/>
      <c r="B12" s="88">
        <v>6</v>
      </c>
      <c r="C12" s="89"/>
      <c r="D12" s="145" t="str">
        <f t="shared" si="0"/>
        <v/>
      </c>
      <c r="E12" s="179" t="str">
        <f t="shared" si="1"/>
        <v/>
      </c>
      <c r="F12" s="91">
        <v>6</v>
      </c>
      <c r="G12" s="92"/>
      <c r="H12" s="89" t="str">
        <f t="shared" si="2"/>
        <v/>
      </c>
      <c r="I12" s="93" t="str">
        <f t="shared" si="15"/>
        <v/>
      </c>
      <c r="J12" s="91"/>
      <c r="K12" s="94" t="str">
        <f t="shared" si="3"/>
        <v/>
      </c>
      <c r="L12" s="92" t="str">
        <f t="shared" si="4"/>
        <v/>
      </c>
      <c r="M12" s="95" t="str">
        <f t="shared" si="5"/>
        <v/>
      </c>
      <c r="N12" s="96" t="str">
        <f t="shared" si="6"/>
        <v/>
      </c>
      <c r="O12" s="96">
        <f t="shared" si="21"/>
        <v>20</v>
      </c>
      <c r="P12" s="303"/>
      <c r="Q12" s="98"/>
      <c r="R12" s="151"/>
      <c r="S12" s="151"/>
      <c r="T12" s="167" t="str">
        <f t="shared" si="8"/>
        <v/>
      </c>
      <c r="U12" s="168" t="str">
        <f t="shared" si="9"/>
        <v/>
      </c>
      <c r="V12" s="169" t="str">
        <f t="shared" si="10"/>
        <v/>
      </c>
      <c r="W12" s="350" t="str">
        <f t="shared" si="11"/>
        <v/>
      </c>
      <c r="X12" s="351" t="str">
        <f t="shared" si="12"/>
        <v/>
      </c>
      <c r="Y12" s="472" t="str">
        <f t="shared" si="13"/>
        <v/>
      </c>
      <c r="Z12" s="170" t="str">
        <f t="shared" si="14"/>
        <v/>
      </c>
      <c r="AA12" s="159"/>
      <c r="AB12" s="171">
        <f t="shared" si="16"/>
        <v>10</v>
      </c>
      <c r="AC12" s="166">
        <f t="shared" si="17"/>
        <v>13.333333333333334</v>
      </c>
      <c r="AD12" s="166">
        <f t="shared" si="18"/>
        <v>16.666666666666668</v>
      </c>
      <c r="AE12" s="166">
        <f t="shared" si="19"/>
        <v>20</v>
      </c>
      <c r="AF12" s="441">
        <f t="shared" si="20"/>
        <v>26.666666666666668</v>
      </c>
    </row>
    <row r="13" spans="1:32" ht="14" x14ac:dyDescent="0.2">
      <c r="A13" s="71"/>
      <c r="B13" s="99">
        <v>7</v>
      </c>
      <c r="C13" s="100"/>
      <c r="D13" s="101" t="str">
        <f t="shared" si="0"/>
        <v/>
      </c>
      <c r="E13" s="180" t="str">
        <f t="shared" si="1"/>
        <v/>
      </c>
      <c r="F13" s="102">
        <v>7</v>
      </c>
      <c r="G13" s="103"/>
      <c r="H13" s="100" t="str">
        <f t="shared" si="2"/>
        <v/>
      </c>
      <c r="I13" s="104" t="str">
        <f t="shared" si="15"/>
        <v/>
      </c>
      <c r="J13" s="102"/>
      <c r="K13" s="105" t="str">
        <f t="shared" si="3"/>
        <v/>
      </c>
      <c r="L13" s="103" t="str">
        <f t="shared" si="4"/>
        <v/>
      </c>
      <c r="M13" s="106" t="str">
        <f t="shared" si="5"/>
        <v/>
      </c>
      <c r="N13" s="107" t="str">
        <f t="shared" si="6"/>
        <v/>
      </c>
      <c r="O13" s="107">
        <f t="shared" si="21"/>
        <v>18</v>
      </c>
      <c r="P13" s="304"/>
      <c r="Q13" s="110"/>
      <c r="R13" s="151"/>
      <c r="S13" s="151"/>
      <c r="T13" s="167" t="str">
        <f t="shared" si="8"/>
        <v/>
      </c>
      <c r="U13" s="168" t="str">
        <f t="shared" si="9"/>
        <v/>
      </c>
      <c r="V13" s="169" t="str">
        <f t="shared" si="10"/>
        <v/>
      </c>
      <c r="W13" s="350" t="str">
        <f t="shared" si="11"/>
        <v/>
      </c>
      <c r="X13" s="351" t="str">
        <f t="shared" si="12"/>
        <v/>
      </c>
      <c r="Y13" s="472" t="str">
        <f t="shared" si="13"/>
        <v/>
      </c>
      <c r="Z13" s="170" t="str">
        <f t="shared" si="14"/>
        <v/>
      </c>
      <c r="AA13" s="159"/>
      <c r="AB13" s="171">
        <f t="shared" si="16"/>
        <v>9</v>
      </c>
      <c r="AC13" s="166">
        <f t="shared" si="17"/>
        <v>12</v>
      </c>
      <c r="AD13" s="166">
        <f t="shared" si="18"/>
        <v>15</v>
      </c>
      <c r="AE13" s="166">
        <f t="shared" si="19"/>
        <v>18</v>
      </c>
      <c r="AF13" s="441">
        <f t="shared" si="20"/>
        <v>24</v>
      </c>
    </row>
    <row r="14" spans="1:32" ht="14" x14ac:dyDescent="0.2">
      <c r="A14" s="71"/>
      <c r="B14" s="99">
        <v>8</v>
      </c>
      <c r="C14" s="100"/>
      <c r="D14" s="101" t="str">
        <f t="shared" si="0"/>
        <v/>
      </c>
      <c r="E14" s="180" t="str">
        <f t="shared" si="1"/>
        <v/>
      </c>
      <c r="F14" s="102">
        <v>8</v>
      </c>
      <c r="G14" s="103"/>
      <c r="H14" s="100" t="str">
        <f t="shared" si="2"/>
        <v/>
      </c>
      <c r="I14" s="104" t="str">
        <f t="shared" si="15"/>
        <v/>
      </c>
      <c r="J14" s="102"/>
      <c r="K14" s="105" t="str">
        <f t="shared" si="3"/>
        <v/>
      </c>
      <c r="L14" s="103" t="str">
        <f t="shared" si="4"/>
        <v/>
      </c>
      <c r="M14" s="106" t="str">
        <f t="shared" si="5"/>
        <v/>
      </c>
      <c r="N14" s="107" t="str">
        <f t="shared" si="6"/>
        <v/>
      </c>
      <c r="O14" s="107">
        <f t="shared" si="21"/>
        <v>16</v>
      </c>
      <c r="P14" s="142"/>
      <c r="Q14" s="110"/>
      <c r="R14" s="151"/>
      <c r="S14" s="151"/>
      <c r="T14" s="167" t="str">
        <f t="shared" si="8"/>
        <v/>
      </c>
      <c r="U14" s="168" t="str">
        <f t="shared" si="9"/>
        <v/>
      </c>
      <c r="V14" s="169" t="str">
        <f t="shared" si="10"/>
        <v/>
      </c>
      <c r="W14" s="350" t="str">
        <f t="shared" si="11"/>
        <v/>
      </c>
      <c r="X14" s="351" t="str">
        <f t="shared" si="12"/>
        <v/>
      </c>
      <c r="Y14" s="472" t="str">
        <f t="shared" si="13"/>
        <v/>
      </c>
      <c r="Z14" s="170" t="str">
        <f t="shared" si="14"/>
        <v/>
      </c>
      <c r="AA14" s="159"/>
      <c r="AB14" s="171">
        <f t="shared" si="16"/>
        <v>8</v>
      </c>
      <c r="AC14" s="166">
        <f t="shared" si="17"/>
        <v>10.666666666666666</v>
      </c>
      <c r="AD14" s="166">
        <f t="shared" si="18"/>
        <v>13.333333333333334</v>
      </c>
      <c r="AE14" s="166">
        <f t="shared" si="19"/>
        <v>16</v>
      </c>
      <c r="AF14" s="441">
        <f t="shared" si="20"/>
        <v>21.333333333333332</v>
      </c>
    </row>
    <row r="15" spans="1:32" ht="14" x14ac:dyDescent="0.2">
      <c r="A15" s="71"/>
      <c r="B15" s="99">
        <v>9</v>
      </c>
      <c r="C15" s="100"/>
      <c r="D15" s="101" t="str">
        <f t="shared" si="0"/>
        <v/>
      </c>
      <c r="E15" s="180" t="str">
        <f t="shared" si="1"/>
        <v/>
      </c>
      <c r="F15" s="102">
        <v>9</v>
      </c>
      <c r="G15" s="103"/>
      <c r="H15" s="100" t="str">
        <f t="shared" si="2"/>
        <v/>
      </c>
      <c r="I15" s="104" t="str">
        <f t="shared" si="15"/>
        <v/>
      </c>
      <c r="J15" s="102"/>
      <c r="K15" s="105" t="str">
        <f t="shared" si="3"/>
        <v/>
      </c>
      <c r="L15" s="103" t="str">
        <f t="shared" si="4"/>
        <v/>
      </c>
      <c r="M15" s="106" t="str">
        <f t="shared" si="5"/>
        <v/>
      </c>
      <c r="N15" s="107" t="str">
        <f t="shared" si="6"/>
        <v/>
      </c>
      <c r="O15" s="107">
        <f t="shared" si="21"/>
        <v>14</v>
      </c>
      <c r="P15" s="109"/>
      <c r="Q15" s="110"/>
      <c r="R15" s="151"/>
      <c r="S15" s="151"/>
      <c r="T15" s="167" t="str">
        <f t="shared" si="8"/>
        <v/>
      </c>
      <c r="U15" s="168" t="str">
        <f t="shared" si="9"/>
        <v/>
      </c>
      <c r="V15" s="169" t="str">
        <f t="shared" si="10"/>
        <v/>
      </c>
      <c r="W15" s="350" t="str">
        <f t="shared" si="11"/>
        <v/>
      </c>
      <c r="X15" s="351" t="str">
        <f t="shared" si="12"/>
        <v/>
      </c>
      <c r="Y15" s="472" t="str">
        <f t="shared" si="13"/>
        <v/>
      </c>
      <c r="Z15" s="170" t="str">
        <f t="shared" si="14"/>
        <v/>
      </c>
      <c r="AA15" s="159"/>
      <c r="AB15" s="171">
        <f t="shared" si="16"/>
        <v>7</v>
      </c>
      <c r="AC15" s="166">
        <f t="shared" si="17"/>
        <v>9.3333333333333339</v>
      </c>
      <c r="AD15" s="166">
        <f t="shared" si="18"/>
        <v>11.666666666666666</v>
      </c>
      <c r="AE15" s="166">
        <f t="shared" si="19"/>
        <v>14</v>
      </c>
      <c r="AF15" s="441">
        <f t="shared" si="20"/>
        <v>18.666666666666668</v>
      </c>
    </row>
    <row r="16" spans="1:32" ht="14" x14ac:dyDescent="0.2">
      <c r="A16" s="71"/>
      <c r="B16" s="111">
        <v>10</v>
      </c>
      <c r="C16" s="112"/>
      <c r="D16" s="113" t="str">
        <f t="shared" si="0"/>
        <v/>
      </c>
      <c r="E16" s="181" t="str">
        <f t="shared" si="1"/>
        <v/>
      </c>
      <c r="F16" s="114">
        <v>10</v>
      </c>
      <c r="G16" s="115"/>
      <c r="H16" s="112" t="str">
        <f t="shared" si="2"/>
        <v/>
      </c>
      <c r="I16" s="126" t="str">
        <f t="shared" si="15"/>
        <v/>
      </c>
      <c r="J16" s="114"/>
      <c r="K16" s="128" t="str">
        <f t="shared" si="3"/>
        <v/>
      </c>
      <c r="L16" s="115" t="str">
        <f t="shared" si="4"/>
        <v/>
      </c>
      <c r="M16" s="129" t="str">
        <f t="shared" si="5"/>
        <v/>
      </c>
      <c r="N16" s="130" t="str">
        <f t="shared" si="6"/>
        <v/>
      </c>
      <c r="O16" s="122">
        <f t="shared" si="21"/>
        <v>12</v>
      </c>
      <c r="P16" s="177"/>
      <c r="Q16" s="125"/>
      <c r="R16" s="151"/>
      <c r="S16" s="151"/>
      <c r="T16" s="167" t="str">
        <f t="shared" si="8"/>
        <v/>
      </c>
      <c r="U16" s="168" t="str">
        <f t="shared" si="9"/>
        <v/>
      </c>
      <c r="V16" s="169" t="str">
        <f t="shared" si="10"/>
        <v/>
      </c>
      <c r="W16" s="350" t="str">
        <f t="shared" si="11"/>
        <v/>
      </c>
      <c r="X16" s="351" t="str">
        <f t="shared" si="12"/>
        <v/>
      </c>
      <c r="Y16" s="472" t="str">
        <f t="shared" si="13"/>
        <v/>
      </c>
      <c r="Z16" s="170" t="str">
        <f t="shared" si="14"/>
        <v/>
      </c>
      <c r="AA16" s="159"/>
      <c r="AB16" s="171">
        <f t="shared" si="16"/>
        <v>6</v>
      </c>
      <c r="AC16" s="166">
        <f t="shared" si="17"/>
        <v>8</v>
      </c>
      <c r="AD16" s="166">
        <f t="shared" si="18"/>
        <v>10</v>
      </c>
      <c r="AE16" s="166">
        <f t="shared" si="19"/>
        <v>12</v>
      </c>
      <c r="AF16" s="441">
        <f t="shared" si="20"/>
        <v>16</v>
      </c>
    </row>
    <row r="17" spans="1:32" ht="14" x14ac:dyDescent="0.2">
      <c r="A17" s="71"/>
      <c r="B17" s="88">
        <v>11</v>
      </c>
      <c r="C17" s="89"/>
      <c r="D17" s="145" t="str">
        <f t="shared" si="0"/>
        <v/>
      </c>
      <c r="E17" s="179" t="str">
        <f t="shared" ref="E17:E26" si="22">IF($I$6="Ⅰ",T17,IF($I$6="Ⅱ",U17,IF($I$6="Ⅲ",V17,"")))</f>
        <v/>
      </c>
      <c r="F17" s="91">
        <v>11</v>
      </c>
      <c r="G17" s="92"/>
      <c r="H17" s="89" t="str">
        <f t="shared" ref="H17:H26" si="23">IFERROR(IF(G17-$Q$2&lt;=0,"",(G17-$Q$2)*86400),"")</f>
        <v/>
      </c>
      <c r="I17" s="93" t="str">
        <f t="shared" si="15"/>
        <v/>
      </c>
      <c r="J17" s="91"/>
      <c r="K17" s="94" t="str">
        <f t="shared" ref="K17:K26" si="24">IFERROR(H17*(1+0.01*J17)-I17*$N$3,"")</f>
        <v/>
      </c>
      <c r="L17" s="92" t="str">
        <f t="shared" ref="L17:L26" si="25">IFERROR((K17-$K$7)/86400,"")</f>
        <v/>
      </c>
      <c r="M17" s="95" t="str">
        <f t="shared" ref="M17:M26" si="26">IFERROR((K17-$K$7)/$N$3,"")</f>
        <v/>
      </c>
      <c r="N17" s="96" t="str">
        <f t="shared" ref="N17:N26" si="27">IFERROR($N$3/(H17/3600),"")</f>
        <v/>
      </c>
      <c r="O17" s="96">
        <f t="shared" si="21"/>
        <v>10</v>
      </c>
      <c r="P17" s="178"/>
      <c r="Q17" s="98"/>
      <c r="R17" s="151"/>
      <c r="S17" s="151"/>
      <c r="T17" s="167" t="str">
        <f t="shared" si="8"/>
        <v/>
      </c>
      <c r="U17" s="168" t="str">
        <f t="shared" si="9"/>
        <v/>
      </c>
      <c r="V17" s="169" t="str">
        <f t="shared" si="10"/>
        <v/>
      </c>
      <c r="W17" s="350" t="str">
        <f t="shared" si="11"/>
        <v/>
      </c>
      <c r="X17" s="351" t="str">
        <f t="shared" si="12"/>
        <v/>
      </c>
      <c r="Y17" s="472" t="str">
        <f t="shared" si="13"/>
        <v/>
      </c>
      <c r="Z17" s="170" t="str">
        <f t="shared" si="14"/>
        <v/>
      </c>
      <c r="AA17" s="159"/>
      <c r="AB17" s="171">
        <f t="shared" si="16"/>
        <v>5</v>
      </c>
      <c r="AC17" s="166">
        <f t="shared" si="17"/>
        <v>6.666666666666667</v>
      </c>
      <c r="AD17" s="166">
        <f t="shared" si="18"/>
        <v>8.3333333333333339</v>
      </c>
      <c r="AE17" s="166">
        <f t="shared" si="19"/>
        <v>10</v>
      </c>
      <c r="AF17" s="441">
        <f t="shared" si="20"/>
        <v>13.333333333333334</v>
      </c>
    </row>
    <row r="18" spans="1:32" ht="14" x14ac:dyDescent="0.2">
      <c r="A18" s="71"/>
      <c r="B18" s="99">
        <v>12</v>
      </c>
      <c r="C18" s="100"/>
      <c r="D18" s="101" t="str">
        <f t="shared" si="0"/>
        <v/>
      </c>
      <c r="E18" s="180" t="str">
        <f t="shared" si="22"/>
        <v/>
      </c>
      <c r="F18" s="102">
        <v>12</v>
      </c>
      <c r="G18" s="103"/>
      <c r="H18" s="100" t="str">
        <f t="shared" si="23"/>
        <v/>
      </c>
      <c r="I18" s="104" t="str">
        <f t="shared" si="15"/>
        <v/>
      </c>
      <c r="J18" s="102"/>
      <c r="K18" s="105" t="str">
        <f t="shared" si="24"/>
        <v/>
      </c>
      <c r="L18" s="103" t="str">
        <f t="shared" si="25"/>
        <v/>
      </c>
      <c r="M18" s="106" t="str">
        <f t="shared" si="26"/>
        <v/>
      </c>
      <c r="N18" s="107" t="str">
        <f t="shared" si="27"/>
        <v/>
      </c>
      <c r="O18" s="107">
        <f t="shared" si="21"/>
        <v>8</v>
      </c>
      <c r="P18" s="142"/>
      <c r="Q18" s="110"/>
      <c r="R18" s="151"/>
      <c r="S18" s="151"/>
      <c r="T18" s="167" t="str">
        <f t="shared" si="8"/>
        <v/>
      </c>
      <c r="U18" s="168" t="str">
        <f t="shared" si="9"/>
        <v/>
      </c>
      <c r="V18" s="169" t="str">
        <f t="shared" si="10"/>
        <v/>
      </c>
      <c r="W18" s="350" t="str">
        <f t="shared" si="11"/>
        <v/>
      </c>
      <c r="X18" s="351" t="str">
        <f t="shared" si="12"/>
        <v/>
      </c>
      <c r="Y18" s="472" t="str">
        <f t="shared" si="13"/>
        <v/>
      </c>
      <c r="Z18" s="170" t="str">
        <f t="shared" si="14"/>
        <v/>
      </c>
      <c r="AA18" s="159"/>
      <c r="AB18" s="171">
        <f t="shared" si="16"/>
        <v>4</v>
      </c>
      <c r="AC18" s="166">
        <f t="shared" si="17"/>
        <v>5.333333333333333</v>
      </c>
      <c r="AD18" s="166">
        <f t="shared" si="18"/>
        <v>6.666666666666667</v>
      </c>
      <c r="AE18" s="166">
        <f t="shared" si="19"/>
        <v>8</v>
      </c>
      <c r="AF18" s="441">
        <f t="shared" si="20"/>
        <v>10.666666666666666</v>
      </c>
    </row>
    <row r="19" spans="1:32" ht="14" x14ac:dyDescent="0.2">
      <c r="A19" s="71"/>
      <c r="B19" s="99">
        <v>13</v>
      </c>
      <c r="C19" s="100"/>
      <c r="D19" s="101" t="str">
        <f t="shared" si="0"/>
        <v/>
      </c>
      <c r="E19" s="180" t="str">
        <f t="shared" si="22"/>
        <v/>
      </c>
      <c r="F19" s="102">
        <v>13</v>
      </c>
      <c r="G19" s="103"/>
      <c r="H19" s="100" t="str">
        <f t="shared" si="23"/>
        <v/>
      </c>
      <c r="I19" s="104" t="str">
        <f t="shared" si="15"/>
        <v/>
      </c>
      <c r="J19" s="102"/>
      <c r="K19" s="105" t="str">
        <f t="shared" si="24"/>
        <v/>
      </c>
      <c r="L19" s="103" t="str">
        <f t="shared" si="25"/>
        <v/>
      </c>
      <c r="M19" s="106" t="str">
        <f t="shared" si="26"/>
        <v/>
      </c>
      <c r="N19" s="107" t="str">
        <f t="shared" si="27"/>
        <v/>
      </c>
      <c r="O19" s="107">
        <f t="shared" si="21"/>
        <v>6</v>
      </c>
      <c r="P19" s="142"/>
      <c r="Q19" s="110"/>
      <c r="R19" s="151"/>
      <c r="S19" s="151"/>
      <c r="T19" s="167" t="str">
        <f t="shared" si="8"/>
        <v/>
      </c>
      <c r="U19" s="168" t="str">
        <f t="shared" si="9"/>
        <v/>
      </c>
      <c r="V19" s="169" t="str">
        <f t="shared" si="10"/>
        <v/>
      </c>
      <c r="W19" s="350" t="str">
        <f t="shared" si="11"/>
        <v/>
      </c>
      <c r="X19" s="351" t="str">
        <f t="shared" si="12"/>
        <v/>
      </c>
      <c r="Y19" s="472" t="str">
        <f t="shared" si="13"/>
        <v/>
      </c>
      <c r="Z19" s="170" t="str">
        <f t="shared" si="14"/>
        <v/>
      </c>
      <c r="AA19" s="159"/>
      <c r="AB19" s="171">
        <f t="shared" si="16"/>
        <v>3</v>
      </c>
      <c r="AC19" s="166">
        <f t="shared" si="17"/>
        <v>4</v>
      </c>
      <c r="AD19" s="166">
        <f t="shared" si="18"/>
        <v>5</v>
      </c>
      <c r="AE19" s="166">
        <f t="shared" si="19"/>
        <v>6</v>
      </c>
      <c r="AF19" s="441">
        <f t="shared" si="20"/>
        <v>8</v>
      </c>
    </row>
    <row r="20" spans="1:32" ht="14" x14ac:dyDescent="0.2">
      <c r="A20" s="71"/>
      <c r="B20" s="99">
        <v>14</v>
      </c>
      <c r="C20" s="100"/>
      <c r="D20" s="101" t="str">
        <f t="shared" si="0"/>
        <v/>
      </c>
      <c r="E20" s="180" t="str">
        <f t="shared" si="22"/>
        <v/>
      </c>
      <c r="F20" s="102">
        <v>14</v>
      </c>
      <c r="G20" s="103"/>
      <c r="H20" s="100" t="str">
        <f t="shared" si="23"/>
        <v/>
      </c>
      <c r="I20" s="104" t="str">
        <f t="shared" si="15"/>
        <v/>
      </c>
      <c r="J20" s="102"/>
      <c r="K20" s="105" t="str">
        <f t="shared" si="24"/>
        <v/>
      </c>
      <c r="L20" s="103" t="str">
        <f t="shared" si="25"/>
        <v/>
      </c>
      <c r="M20" s="106" t="str">
        <f t="shared" si="26"/>
        <v/>
      </c>
      <c r="N20" s="107" t="str">
        <f t="shared" si="27"/>
        <v/>
      </c>
      <c r="O20" s="107">
        <f t="shared" si="21"/>
        <v>4</v>
      </c>
      <c r="P20" s="178"/>
      <c r="Q20" s="110"/>
      <c r="R20" s="151"/>
      <c r="S20" s="151"/>
      <c r="T20" s="167" t="str">
        <f t="shared" si="8"/>
        <v/>
      </c>
      <c r="U20" s="168" t="str">
        <f t="shared" si="9"/>
        <v/>
      </c>
      <c r="V20" s="169" t="str">
        <f t="shared" si="10"/>
        <v/>
      </c>
      <c r="W20" s="350" t="str">
        <f t="shared" si="11"/>
        <v/>
      </c>
      <c r="X20" s="351" t="str">
        <f t="shared" si="12"/>
        <v/>
      </c>
      <c r="Y20" s="472" t="str">
        <f t="shared" si="13"/>
        <v/>
      </c>
      <c r="Z20" s="170" t="str">
        <f t="shared" si="14"/>
        <v/>
      </c>
      <c r="AA20" s="159"/>
      <c r="AB20" s="171">
        <f t="shared" si="16"/>
        <v>2</v>
      </c>
      <c r="AC20" s="166">
        <f t="shared" si="17"/>
        <v>2.6666666666666665</v>
      </c>
      <c r="AD20" s="166">
        <f t="shared" si="18"/>
        <v>3.3333333333333335</v>
      </c>
      <c r="AE20" s="166">
        <f t="shared" si="19"/>
        <v>4</v>
      </c>
      <c r="AF20" s="441">
        <f t="shared" si="20"/>
        <v>5.333333333333333</v>
      </c>
    </row>
    <row r="21" spans="1:32" ht="14" x14ac:dyDescent="0.2">
      <c r="A21" s="71"/>
      <c r="B21" s="111">
        <v>15</v>
      </c>
      <c r="C21" s="112"/>
      <c r="D21" s="113" t="str">
        <f t="shared" si="0"/>
        <v/>
      </c>
      <c r="E21" s="181" t="str">
        <f t="shared" si="22"/>
        <v/>
      </c>
      <c r="F21" s="114">
        <v>15</v>
      </c>
      <c r="G21" s="115"/>
      <c r="H21" s="112" t="str">
        <f t="shared" si="23"/>
        <v/>
      </c>
      <c r="I21" s="126" t="str">
        <f t="shared" si="15"/>
        <v/>
      </c>
      <c r="J21" s="114"/>
      <c r="K21" s="128" t="str">
        <f t="shared" si="24"/>
        <v/>
      </c>
      <c r="L21" s="115" t="str">
        <f t="shared" si="25"/>
        <v/>
      </c>
      <c r="M21" s="129" t="str">
        <f t="shared" si="26"/>
        <v/>
      </c>
      <c r="N21" s="130" t="str">
        <f t="shared" si="27"/>
        <v/>
      </c>
      <c r="O21" s="122">
        <f t="shared" si="21"/>
        <v>2</v>
      </c>
      <c r="P21" s="177"/>
      <c r="Q21" s="125"/>
      <c r="R21" s="151"/>
      <c r="S21" s="151"/>
      <c r="T21" s="167" t="str">
        <f t="shared" si="8"/>
        <v/>
      </c>
      <c r="U21" s="168" t="str">
        <f t="shared" si="9"/>
        <v/>
      </c>
      <c r="V21" s="169" t="str">
        <f t="shared" si="10"/>
        <v/>
      </c>
      <c r="W21" s="350" t="str">
        <f t="shared" si="11"/>
        <v/>
      </c>
      <c r="X21" s="351" t="str">
        <f t="shared" si="12"/>
        <v/>
      </c>
      <c r="Y21" s="472" t="str">
        <f t="shared" si="13"/>
        <v/>
      </c>
      <c r="Z21" s="170" t="str">
        <f t="shared" si="14"/>
        <v/>
      </c>
      <c r="AA21" s="159"/>
      <c r="AB21" s="171">
        <f t="shared" si="16"/>
        <v>1</v>
      </c>
      <c r="AC21" s="166">
        <f t="shared" si="17"/>
        <v>1.3333333333333333</v>
      </c>
      <c r="AD21" s="166">
        <f t="shared" si="18"/>
        <v>1.6666666666666667</v>
      </c>
      <c r="AE21" s="166">
        <f t="shared" si="19"/>
        <v>2</v>
      </c>
      <c r="AF21" s="441">
        <f t="shared" si="20"/>
        <v>2.6666666666666665</v>
      </c>
    </row>
    <row r="22" spans="1:32" ht="14" x14ac:dyDescent="0.2">
      <c r="A22" s="71"/>
      <c r="B22" s="140"/>
      <c r="C22" s="89"/>
      <c r="D22" s="145" t="str">
        <f t="shared" si="0"/>
        <v/>
      </c>
      <c r="E22" s="179" t="str">
        <f t="shared" si="22"/>
        <v/>
      </c>
      <c r="F22" s="134"/>
      <c r="G22" s="92"/>
      <c r="H22" s="89" t="str">
        <f t="shared" si="23"/>
        <v/>
      </c>
      <c r="I22" s="93" t="str">
        <f t="shared" si="15"/>
        <v/>
      </c>
      <c r="J22" s="91"/>
      <c r="K22" s="94" t="str">
        <f t="shared" si="24"/>
        <v/>
      </c>
      <c r="L22" s="103" t="str">
        <f t="shared" si="25"/>
        <v/>
      </c>
      <c r="M22" s="95" t="str">
        <f t="shared" si="26"/>
        <v/>
      </c>
      <c r="N22" s="96" t="str">
        <f t="shared" si="27"/>
        <v/>
      </c>
      <c r="O22" s="96" t="e">
        <f t="shared" si="21"/>
        <v>#VALUE!</v>
      </c>
      <c r="P22" s="183"/>
      <c r="Q22" s="141"/>
      <c r="R22" s="151"/>
      <c r="S22" s="151"/>
      <c r="T22" s="167" t="str">
        <f t="shared" si="8"/>
        <v/>
      </c>
      <c r="U22" s="168" t="str">
        <f t="shared" si="9"/>
        <v/>
      </c>
      <c r="V22" s="169" t="str">
        <f t="shared" si="10"/>
        <v/>
      </c>
      <c r="W22" s="350" t="str">
        <f t="shared" si="11"/>
        <v/>
      </c>
      <c r="X22" s="351" t="str">
        <f t="shared" si="12"/>
        <v/>
      </c>
      <c r="Y22" s="472" t="str">
        <f t="shared" si="13"/>
        <v/>
      </c>
      <c r="Z22" s="170" t="str">
        <f t="shared" si="14"/>
        <v/>
      </c>
      <c r="AA22" s="159"/>
      <c r="AB22" s="171" t="str">
        <f t="shared" si="16"/>
        <v/>
      </c>
      <c r="AC22" s="166" t="str">
        <f t="shared" si="17"/>
        <v/>
      </c>
      <c r="AD22" s="166" t="str">
        <f t="shared" si="18"/>
        <v/>
      </c>
      <c r="AE22" s="166" t="str">
        <f t="shared" si="19"/>
        <v/>
      </c>
      <c r="AF22" s="441" t="str">
        <f t="shared" si="20"/>
        <v/>
      </c>
    </row>
    <row r="23" spans="1:32" ht="14" x14ac:dyDescent="0.2">
      <c r="A23" s="71"/>
      <c r="B23" s="99"/>
      <c r="C23" s="100"/>
      <c r="D23" s="101" t="str">
        <f t="shared" si="0"/>
        <v/>
      </c>
      <c r="E23" s="180" t="str">
        <f t="shared" si="22"/>
        <v/>
      </c>
      <c r="F23" s="102"/>
      <c r="G23" s="103"/>
      <c r="H23" s="100" t="str">
        <f t="shared" si="23"/>
        <v/>
      </c>
      <c r="I23" s="104" t="str">
        <f t="shared" si="15"/>
        <v/>
      </c>
      <c r="J23" s="102"/>
      <c r="K23" s="105" t="str">
        <f t="shared" si="24"/>
        <v/>
      </c>
      <c r="L23" s="136" t="str">
        <f t="shared" si="25"/>
        <v/>
      </c>
      <c r="M23" s="106" t="str">
        <f t="shared" si="26"/>
        <v/>
      </c>
      <c r="N23" s="107" t="str">
        <f t="shared" si="27"/>
        <v/>
      </c>
      <c r="O23" s="107" t="e">
        <f t="shared" si="21"/>
        <v>#VALUE!</v>
      </c>
      <c r="P23" s="142"/>
      <c r="Q23" s="110"/>
      <c r="R23" s="151"/>
      <c r="S23" s="151"/>
      <c r="T23" s="167" t="str">
        <f t="shared" si="8"/>
        <v/>
      </c>
      <c r="U23" s="168" t="str">
        <f t="shared" si="9"/>
        <v/>
      </c>
      <c r="V23" s="169" t="str">
        <f t="shared" si="10"/>
        <v/>
      </c>
      <c r="W23" s="350" t="str">
        <f t="shared" si="11"/>
        <v/>
      </c>
      <c r="X23" s="351" t="str">
        <f t="shared" si="12"/>
        <v/>
      </c>
      <c r="Y23" s="472" t="str">
        <f t="shared" si="13"/>
        <v/>
      </c>
      <c r="Z23" s="170" t="str">
        <f t="shared" si="14"/>
        <v/>
      </c>
      <c r="AA23" s="159"/>
      <c r="AB23" s="171" t="str">
        <f t="shared" si="16"/>
        <v/>
      </c>
      <c r="AC23" s="166" t="str">
        <f t="shared" si="17"/>
        <v/>
      </c>
      <c r="AD23" s="166" t="str">
        <f t="shared" si="18"/>
        <v/>
      </c>
      <c r="AE23" s="166" t="str">
        <f t="shared" si="19"/>
        <v/>
      </c>
      <c r="AF23" s="441" t="str">
        <f t="shared" si="20"/>
        <v/>
      </c>
    </row>
    <row r="24" spans="1:32" ht="14" x14ac:dyDescent="0.2">
      <c r="A24" s="71"/>
      <c r="B24" s="140"/>
      <c r="C24" s="100"/>
      <c r="D24" s="101" t="str">
        <f t="shared" si="0"/>
        <v/>
      </c>
      <c r="E24" s="180" t="str">
        <f t="shared" si="22"/>
        <v/>
      </c>
      <c r="F24" s="102"/>
      <c r="G24" s="103"/>
      <c r="H24" s="100" t="str">
        <f t="shared" si="23"/>
        <v/>
      </c>
      <c r="I24" s="104" t="str">
        <f t="shared" si="15"/>
        <v/>
      </c>
      <c r="J24" s="102"/>
      <c r="K24" s="105" t="str">
        <f t="shared" si="24"/>
        <v/>
      </c>
      <c r="L24" s="103" t="str">
        <f t="shared" si="25"/>
        <v/>
      </c>
      <c r="M24" s="106" t="str">
        <f t="shared" si="26"/>
        <v/>
      </c>
      <c r="N24" s="107" t="str">
        <f t="shared" si="27"/>
        <v/>
      </c>
      <c r="O24" s="107" t="e">
        <f t="shared" si="21"/>
        <v>#VALUE!</v>
      </c>
      <c r="P24" s="143"/>
      <c r="Q24" s="110"/>
      <c r="R24" s="151"/>
      <c r="S24" s="151"/>
      <c r="T24" s="167" t="str">
        <f t="shared" si="8"/>
        <v/>
      </c>
      <c r="U24" s="168" t="str">
        <f t="shared" si="9"/>
        <v/>
      </c>
      <c r="V24" s="169" t="str">
        <f t="shared" si="10"/>
        <v/>
      </c>
      <c r="W24" s="350" t="str">
        <f t="shared" si="11"/>
        <v/>
      </c>
      <c r="X24" s="351" t="str">
        <f t="shared" si="12"/>
        <v/>
      </c>
      <c r="Y24" s="472" t="str">
        <f t="shared" si="13"/>
        <v/>
      </c>
      <c r="Z24" s="170" t="str">
        <f t="shared" si="14"/>
        <v/>
      </c>
      <c r="AA24" s="159"/>
      <c r="AB24" s="171" t="str">
        <f t="shared" si="16"/>
        <v/>
      </c>
      <c r="AC24" s="166" t="str">
        <f t="shared" si="17"/>
        <v/>
      </c>
      <c r="AD24" s="166" t="str">
        <f t="shared" si="18"/>
        <v/>
      </c>
      <c r="AE24" s="166" t="str">
        <f t="shared" si="19"/>
        <v/>
      </c>
      <c r="AF24" s="441" t="str">
        <f t="shared" si="20"/>
        <v/>
      </c>
    </row>
    <row r="25" spans="1:32" ht="14" x14ac:dyDescent="0.2">
      <c r="A25" s="71"/>
      <c r="B25" s="99"/>
      <c r="C25" s="100"/>
      <c r="D25" s="101" t="str">
        <f t="shared" si="0"/>
        <v/>
      </c>
      <c r="E25" s="180" t="str">
        <f t="shared" si="22"/>
        <v/>
      </c>
      <c r="F25" s="102"/>
      <c r="G25" s="103"/>
      <c r="H25" s="100" t="str">
        <f t="shared" si="23"/>
        <v/>
      </c>
      <c r="I25" s="104" t="str">
        <f t="shared" si="15"/>
        <v/>
      </c>
      <c r="J25" s="102"/>
      <c r="K25" s="105" t="str">
        <f t="shared" si="24"/>
        <v/>
      </c>
      <c r="L25" s="103" t="str">
        <f t="shared" si="25"/>
        <v/>
      </c>
      <c r="M25" s="106" t="str">
        <f t="shared" si="26"/>
        <v/>
      </c>
      <c r="N25" s="107" t="str">
        <f t="shared" si="27"/>
        <v/>
      </c>
      <c r="O25" s="107" t="e">
        <f t="shared" si="21"/>
        <v>#VALUE!</v>
      </c>
      <c r="P25" s="143"/>
      <c r="Q25" s="110"/>
      <c r="R25" s="151"/>
      <c r="S25" s="151"/>
      <c r="T25" s="167" t="str">
        <f t="shared" si="8"/>
        <v/>
      </c>
      <c r="U25" s="168" t="str">
        <f t="shared" si="9"/>
        <v/>
      </c>
      <c r="V25" s="169" t="str">
        <f t="shared" si="10"/>
        <v/>
      </c>
      <c r="W25" s="350" t="str">
        <f t="shared" si="11"/>
        <v/>
      </c>
      <c r="X25" s="351" t="str">
        <f t="shared" si="12"/>
        <v/>
      </c>
      <c r="Y25" s="472" t="str">
        <f t="shared" si="13"/>
        <v/>
      </c>
      <c r="Z25" s="170" t="str">
        <f t="shared" si="14"/>
        <v/>
      </c>
      <c r="AA25" s="159"/>
      <c r="AB25" s="171" t="str">
        <f t="shared" si="16"/>
        <v/>
      </c>
      <c r="AC25" s="166" t="str">
        <f t="shared" si="17"/>
        <v/>
      </c>
      <c r="AD25" s="166" t="str">
        <f t="shared" si="18"/>
        <v/>
      </c>
      <c r="AE25" s="166" t="str">
        <f t="shared" si="19"/>
        <v/>
      </c>
      <c r="AF25" s="441" t="str">
        <f t="shared" si="20"/>
        <v/>
      </c>
    </row>
    <row r="26" spans="1:32" ht="14" x14ac:dyDescent="0.2">
      <c r="A26" s="71"/>
      <c r="B26" s="111"/>
      <c r="C26" s="112"/>
      <c r="D26" s="113" t="str">
        <f t="shared" si="0"/>
        <v/>
      </c>
      <c r="E26" s="181" t="str">
        <f t="shared" si="22"/>
        <v/>
      </c>
      <c r="F26" s="114"/>
      <c r="G26" s="115"/>
      <c r="H26" s="112" t="str">
        <f t="shared" si="23"/>
        <v/>
      </c>
      <c r="I26" s="126" t="str">
        <f t="shared" si="15"/>
        <v/>
      </c>
      <c r="J26" s="114"/>
      <c r="K26" s="128" t="str">
        <f t="shared" si="24"/>
        <v/>
      </c>
      <c r="L26" s="115" t="str">
        <f t="shared" si="25"/>
        <v/>
      </c>
      <c r="M26" s="129" t="str">
        <f t="shared" si="26"/>
        <v/>
      </c>
      <c r="N26" s="130" t="str">
        <f t="shared" si="27"/>
        <v/>
      </c>
      <c r="O26" s="122" t="e">
        <f t="shared" si="21"/>
        <v>#VALUE!</v>
      </c>
      <c r="P26" s="144"/>
      <c r="Q26" s="125"/>
      <c r="R26" s="151"/>
      <c r="S26" s="151"/>
      <c r="T26" s="167" t="str">
        <f t="shared" si="8"/>
        <v/>
      </c>
      <c r="U26" s="168" t="str">
        <f t="shared" si="9"/>
        <v/>
      </c>
      <c r="V26" s="169" t="str">
        <f t="shared" si="10"/>
        <v/>
      </c>
      <c r="W26" s="350" t="str">
        <f t="shared" si="11"/>
        <v/>
      </c>
      <c r="X26" s="351" t="str">
        <f t="shared" si="12"/>
        <v/>
      </c>
      <c r="Y26" s="472" t="str">
        <f t="shared" si="13"/>
        <v/>
      </c>
      <c r="Z26" s="170" t="str">
        <f t="shared" si="14"/>
        <v/>
      </c>
      <c r="AA26" s="159"/>
      <c r="AB26" s="171" t="str">
        <f t="shared" si="16"/>
        <v/>
      </c>
      <c r="AC26" s="166" t="str">
        <f t="shared" si="17"/>
        <v/>
      </c>
      <c r="AD26" s="166" t="str">
        <f t="shared" si="18"/>
        <v/>
      </c>
      <c r="AE26" s="166" t="str">
        <f t="shared" si="19"/>
        <v/>
      </c>
      <c r="AF26" s="441" t="str">
        <f t="shared" si="20"/>
        <v/>
      </c>
    </row>
    <row r="27" spans="1:32" ht="14" x14ac:dyDescent="0.2">
      <c r="A27" s="71"/>
      <c r="B27" s="140"/>
      <c r="C27" s="132"/>
      <c r="D27" s="145" t="str">
        <f t="shared" si="0"/>
        <v/>
      </c>
      <c r="E27" s="134"/>
      <c r="F27" s="134"/>
      <c r="G27" s="136"/>
      <c r="H27" s="89" t="str">
        <f>IFERROR(IF(G27-$Q$2&lt;=0,"",(G27-$Q$2)*86400),"")</f>
        <v/>
      </c>
      <c r="I27" s="93" t="str">
        <f t="shared" si="15"/>
        <v/>
      </c>
      <c r="J27" s="91"/>
      <c r="K27" s="94" t="str">
        <f>IFERROR(H27*(1+0.01*J27)-I27*$N$3,"")</f>
        <v/>
      </c>
      <c r="L27" s="92" t="str">
        <f>IFERROR((K27-$K$7)/86400,"")</f>
        <v/>
      </c>
      <c r="M27" s="95" t="str">
        <f>IFERROR((K27-$K$7)/$N$3,"")</f>
        <v/>
      </c>
      <c r="N27" s="96" t="str">
        <f>IFERROR($N$3/(H27/3600),"")</f>
        <v/>
      </c>
      <c r="O27" s="96" t="e">
        <f t="shared" si="21"/>
        <v>#VALUE!</v>
      </c>
      <c r="P27" s="146"/>
      <c r="Q27" s="141"/>
      <c r="R27" s="151"/>
      <c r="S27" s="151"/>
      <c r="T27" s="167" t="str">
        <f t="shared" si="8"/>
        <v/>
      </c>
      <c r="U27" s="168" t="str">
        <f t="shared" si="9"/>
        <v/>
      </c>
      <c r="V27" s="169" t="str">
        <f t="shared" si="10"/>
        <v/>
      </c>
      <c r="W27" s="350" t="str">
        <f t="shared" si="11"/>
        <v/>
      </c>
      <c r="X27" s="351" t="str">
        <f t="shared" si="12"/>
        <v/>
      </c>
      <c r="Y27" s="472" t="str">
        <f t="shared" si="13"/>
        <v/>
      </c>
      <c r="Z27" s="170" t="str">
        <f t="shared" si="14"/>
        <v/>
      </c>
      <c r="AA27" s="159"/>
      <c r="AB27" s="171" t="str">
        <f t="shared" si="16"/>
        <v/>
      </c>
      <c r="AC27" s="166" t="str">
        <f t="shared" si="17"/>
        <v/>
      </c>
      <c r="AD27" s="166" t="str">
        <f t="shared" si="18"/>
        <v/>
      </c>
      <c r="AE27" s="437" t="str">
        <f t="shared" ref="AE27:AE31" si="28">IF(ISBLANK(C27),"",IFERROR(30*($P$3-$B27)/($P$3-1)+10,"30.0"))</f>
        <v/>
      </c>
      <c r="AF27" s="441" t="str">
        <f t="shared" si="20"/>
        <v/>
      </c>
    </row>
    <row r="28" spans="1:32" ht="14.25" customHeight="1" x14ac:dyDescent="0.2">
      <c r="A28" s="71"/>
      <c r="B28" s="99"/>
      <c r="C28" s="100"/>
      <c r="D28" s="101" t="str">
        <f t="shared" si="0"/>
        <v/>
      </c>
      <c r="E28" s="102"/>
      <c r="F28" s="102"/>
      <c r="G28" s="103"/>
      <c r="H28" s="100"/>
      <c r="I28" s="104" t="str">
        <f t="shared" si="15"/>
        <v/>
      </c>
      <c r="J28" s="102"/>
      <c r="K28" s="105"/>
      <c r="L28" s="103"/>
      <c r="M28" s="106"/>
      <c r="N28" s="107"/>
      <c r="O28" s="107" t="e">
        <f t="shared" si="21"/>
        <v>#VALUE!</v>
      </c>
      <c r="P28" s="147"/>
      <c r="Q28" s="110"/>
      <c r="R28" s="151"/>
      <c r="S28" s="151"/>
      <c r="T28" s="167" t="str">
        <f t="shared" si="8"/>
        <v/>
      </c>
      <c r="U28" s="168" t="str">
        <f t="shared" si="9"/>
        <v/>
      </c>
      <c r="V28" s="169" t="str">
        <f t="shared" si="10"/>
        <v/>
      </c>
      <c r="W28" s="350" t="str">
        <f t="shared" si="11"/>
        <v/>
      </c>
      <c r="X28" s="351" t="str">
        <f t="shared" si="12"/>
        <v/>
      </c>
      <c r="Y28" s="472" t="str">
        <f t="shared" si="13"/>
        <v/>
      </c>
      <c r="Z28" s="170" t="str">
        <f t="shared" si="14"/>
        <v/>
      </c>
      <c r="AA28" s="159"/>
      <c r="AB28" s="171" t="str">
        <f t="shared" si="16"/>
        <v/>
      </c>
      <c r="AC28" s="166" t="str">
        <f t="shared" si="17"/>
        <v/>
      </c>
      <c r="AD28" s="166" t="str">
        <f t="shared" si="18"/>
        <v/>
      </c>
      <c r="AE28" s="437" t="str">
        <f t="shared" si="28"/>
        <v/>
      </c>
      <c r="AF28" s="441" t="str">
        <f t="shared" si="20"/>
        <v/>
      </c>
    </row>
    <row r="29" spans="1:32" ht="14" x14ac:dyDescent="0.2">
      <c r="A29" s="71"/>
      <c r="B29" s="99"/>
      <c r="C29" s="100"/>
      <c r="D29" s="101" t="str">
        <f t="shared" si="0"/>
        <v/>
      </c>
      <c r="E29" s="102"/>
      <c r="F29" s="102"/>
      <c r="G29" s="103"/>
      <c r="H29" s="100"/>
      <c r="I29" s="104" t="str">
        <f t="shared" si="15"/>
        <v/>
      </c>
      <c r="J29" s="102"/>
      <c r="K29" s="105"/>
      <c r="L29" s="103"/>
      <c r="M29" s="106"/>
      <c r="N29" s="107"/>
      <c r="O29" s="107" t="e">
        <f t="shared" si="21"/>
        <v>#VALUE!</v>
      </c>
      <c r="P29" s="143"/>
      <c r="Q29" s="110"/>
      <c r="R29" s="151"/>
      <c r="S29" s="151"/>
      <c r="T29" s="167" t="str">
        <f t="shared" si="8"/>
        <v/>
      </c>
      <c r="U29" s="168" t="str">
        <f t="shared" si="9"/>
        <v/>
      </c>
      <c r="V29" s="169" t="str">
        <f t="shared" si="10"/>
        <v/>
      </c>
      <c r="W29" s="350" t="str">
        <f t="shared" si="11"/>
        <v/>
      </c>
      <c r="X29" s="351" t="str">
        <f t="shared" si="12"/>
        <v/>
      </c>
      <c r="Y29" s="472" t="str">
        <f t="shared" si="13"/>
        <v/>
      </c>
      <c r="Z29" s="170" t="str">
        <f t="shared" si="14"/>
        <v/>
      </c>
      <c r="AA29" s="159"/>
      <c r="AB29" s="171" t="str">
        <f t="shared" si="16"/>
        <v/>
      </c>
      <c r="AC29" s="166" t="str">
        <f t="shared" si="17"/>
        <v/>
      </c>
      <c r="AD29" s="166" t="str">
        <f t="shared" si="18"/>
        <v/>
      </c>
      <c r="AE29" s="437" t="str">
        <f t="shared" si="28"/>
        <v/>
      </c>
      <c r="AF29" s="441" t="str">
        <f t="shared" si="20"/>
        <v/>
      </c>
    </row>
    <row r="30" spans="1:32" ht="14.25" customHeight="1" x14ac:dyDescent="0.2">
      <c r="A30" s="71"/>
      <c r="B30" s="99"/>
      <c r="C30" s="100"/>
      <c r="D30" s="101" t="str">
        <f t="shared" si="0"/>
        <v/>
      </c>
      <c r="E30" s="102"/>
      <c r="F30" s="102"/>
      <c r="G30" s="103"/>
      <c r="H30" s="100"/>
      <c r="I30" s="104" t="str">
        <f t="shared" si="15"/>
        <v/>
      </c>
      <c r="J30" s="102"/>
      <c r="K30" s="105"/>
      <c r="L30" s="103"/>
      <c r="M30" s="106"/>
      <c r="N30" s="107"/>
      <c r="O30" s="107" t="e">
        <f t="shared" si="21"/>
        <v>#VALUE!</v>
      </c>
      <c r="P30" s="143"/>
      <c r="Q30" s="110"/>
      <c r="R30" s="151"/>
      <c r="S30" s="151"/>
      <c r="T30" s="167" t="str">
        <f t="shared" si="8"/>
        <v/>
      </c>
      <c r="U30" s="168" t="str">
        <f t="shared" si="9"/>
        <v/>
      </c>
      <c r="V30" s="169" t="str">
        <f t="shared" si="10"/>
        <v/>
      </c>
      <c r="W30" s="350" t="str">
        <f t="shared" si="11"/>
        <v/>
      </c>
      <c r="X30" s="351" t="str">
        <f t="shared" si="12"/>
        <v/>
      </c>
      <c r="Y30" s="472" t="str">
        <f t="shared" si="13"/>
        <v/>
      </c>
      <c r="Z30" s="170" t="str">
        <f t="shared" si="14"/>
        <v/>
      </c>
      <c r="AA30" s="159"/>
      <c r="AB30" s="171" t="str">
        <f t="shared" si="16"/>
        <v/>
      </c>
      <c r="AC30" s="166" t="str">
        <f t="shared" si="17"/>
        <v/>
      </c>
      <c r="AD30" s="166" t="str">
        <f t="shared" si="18"/>
        <v/>
      </c>
      <c r="AE30" s="437" t="str">
        <f t="shared" si="28"/>
        <v/>
      </c>
      <c r="AF30" s="441" t="str">
        <f t="shared" si="20"/>
        <v/>
      </c>
    </row>
    <row r="31" spans="1:32" ht="14.5" thickBot="1" x14ac:dyDescent="0.25">
      <c r="A31" s="71"/>
      <c r="B31" s="99"/>
      <c r="C31" s="100"/>
      <c r="D31" s="113" t="str">
        <f t="shared" si="0"/>
        <v/>
      </c>
      <c r="E31" s="114"/>
      <c r="F31" s="102"/>
      <c r="G31" s="103"/>
      <c r="H31" s="112" t="str">
        <f>IFERROR(IF(G31-$Q$2&lt;=0,"",(G31-$Q$2)*86400),"")</f>
        <v/>
      </c>
      <c r="I31" s="126" t="str">
        <f t="shared" si="15"/>
        <v/>
      </c>
      <c r="J31" s="114"/>
      <c r="K31" s="128" t="str">
        <f>IFERROR(H31*(1+0.01*J31)-I31*$N$3,"")</f>
        <v/>
      </c>
      <c r="L31" s="115" t="str">
        <f>IFERROR((K31-$K$7)/86400,"")</f>
        <v/>
      </c>
      <c r="M31" s="129" t="str">
        <f>IFERROR((K31-$K$7)/$N$3,"")</f>
        <v/>
      </c>
      <c r="N31" s="130" t="str">
        <f>IFERROR($N$3/(H31/3600),"")</f>
        <v/>
      </c>
      <c r="O31" s="122" t="e">
        <f t="shared" si="21"/>
        <v>#VALUE!</v>
      </c>
      <c r="P31" s="144"/>
      <c r="Q31" s="125"/>
      <c r="R31" s="151"/>
      <c r="S31" s="151"/>
      <c r="T31" s="172" t="str">
        <f t="shared" si="8"/>
        <v/>
      </c>
      <c r="U31" s="173" t="str">
        <f t="shared" si="9"/>
        <v/>
      </c>
      <c r="V31" s="174" t="str">
        <f t="shared" si="10"/>
        <v/>
      </c>
      <c r="W31" s="352" t="str">
        <f t="shared" si="11"/>
        <v/>
      </c>
      <c r="X31" s="353" t="str">
        <f t="shared" si="12"/>
        <v/>
      </c>
      <c r="Y31" s="473" t="str">
        <f t="shared" si="13"/>
        <v/>
      </c>
      <c r="Z31" s="354" t="str">
        <f t="shared" si="14"/>
        <v/>
      </c>
      <c r="AA31" s="159"/>
      <c r="AB31" s="442" t="str">
        <f t="shared" ref="AB31" si="29">IF(ISBLANK(B31),"",IFERROR(15*($P$3+1-$B31)/$P$3,"15.0"))</f>
        <v/>
      </c>
      <c r="AC31" s="443" t="str">
        <f t="shared" ref="AC31" si="30">IF(ISBLANK(B31),"",IFERROR(20*($P$3+1-$B31)/$P$3,"20.0"))</f>
        <v/>
      </c>
      <c r="AD31" s="443" t="str">
        <f t="shared" ref="AD31" si="31">IF(ISBLANK(B31),"",IFERROR(25*($P$3+1-$B31)/$P$3,"25.0"))</f>
        <v/>
      </c>
      <c r="AE31" s="438" t="str">
        <f t="shared" si="28"/>
        <v/>
      </c>
      <c r="AF31" s="444" t="str">
        <f t="shared" si="20"/>
        <v/>
      </c>
    </row>
    <row r="32" spans="1:32" ht="15" customHeight="1" x14ac:dyDescent="0.25">
      <c r="A32" s="71"/>
      <c r="B32" s="584" t="s">
        <v>190</v>
      </c>
      <c r="C32" s="585"/>
      <c r="D32" s="586"/>
      <c r="E32" s="148" t="s">
        <v>151</v>
      </c>
      <c r="F32" s="593" t="s">
        <v>215</v>
      </c>
      <c r="G32" s="594"/>
      <c r="H32" s="595" t="s">
        <v>245</v>
      </c>
      <c r="I32" s="596"/>
      <c r="J32" s="596"/>
      <c r="K32" s="596"/>
      <c r="L32" s="596"/>
      <c r="M32" s="596"/>
      <c r="N32" s="596"/>
      <c r="O32" s="596"/>
      <c r="P32" s="596"/>
      <c r="Q32" s="597"/>
      <c r="R32" s="297"/>
      <c r="S32" s="62"/>
      <c r="T32" s="154"/>
      <c r="U32" s="154"/>
      <c r="V32" s="154"/>
      <c r="Y32" s="154"/>
      <c r="Z32" s="154"/>
      <c r="AA32" s="154"/>
    </row>
    <row r="33" spans="1:32" ht="15" customHeight="1" x14ac:dyDescent="0.25">
      <c r="A33" s="71"/>
      <c r="B33" s="587"/>
      <c r="C33" s="588"/>
      <c r="D33" s="589"/>
      <c r="E33" s="149" t="s">
        <v>152</v>
      </c>
      <c r="F33" s="576"/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297"/>
      <c r="S33" s="62"/>
      <c r="T33" s="154"/>
      <c r="U33" s="154"/>
      <c r="V33" s="154"/>
      <c r="Y33" s="154"/>
      <c r="Z33" s="154"/>
      <c r="AA33" s="154"/>
      <c r="AB33" s="515" t="s">
        <v>294</v>
      </c>
      <c r="AC33" s="515"/>
      <c r="AD33" s="515"/>
      <c r="AE33" s="515"/>
      <c r="AF33" s="515"/>
    </row>
    <row r="34" spans="1:32" ht="23.25" customHeight="1" x14ac:dyDescent="0.25">
      <c r="A34" s="71"/>
      <c r="B34" s="590"/>
      <c r="C34" s="591"/>
      <c r="D34" s="592"/>
      <c r="E34" s="149" t="s">
        <v>153</v>
      </c>
      <c r="F34" s="576"/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297"/>
      <c r="S34" s="62"/>
      <c r="T34" s="154"/>
      <c r="U34" s="154"/>
      <c r="V34" s="154"/>
      <c r="Y34" s="154"/>
      <c r="Z34" s="154"/>
      <c r="AA34" s="154"/>
    </row>
    <row r="35" spans="1:32" ht="22.5" customHeight="1" x14ac:dyDescent="0.25">
      <c r="A35" s="71"/>
      <c r="B35" s="604" t="s">
        <v>191</v>
      </c>
      <c r="C35" s="605"/>
      <c r="D35" s="606"/>
      <c r="E35" s="578" t="s">
        <v>155</v>
      </c>
      <c r="F35" s="576" t="str">
        <f>参照ﾃﾞｰﾀ!AB11</f>
        <v>サーモン4</v>
      </c>
      <c r="G35" s="577"/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297"/>
      <c r="S35" s="62"/>
      <c r="T35" s="154"/>
      <c r="U35" s="154"/>
      <c r="V35" s="154"/>
      <c r="Y35" s="154"/>
      <c r="Z35" s="154"/>
      <c r="AA35" s="154"/>
    </row>
    <row r="36" spans="1:32" ht="15" customHeight="1" x14ac:dyDescent="0.25">
      <c r="A36" s="71"/>
      <c r="B36" s="607"/>
      <c r="C36" s="608"/>
      <c r="D36" s="609"/>
      <c r="E36" s="615"/>
      <c r="F36" s="576"/>
      <c r="G36" s="577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297"/>
      <c r="S36" s="62"/>
      <c r="T36" s="154"/>
      <c r="U36" s="154"/>
      <c r="V36" s="154"/>
      <c r="Y36" s="154"/>
      <c r="Z36" s="154"/>
      <c r="AA36" s="154"/>
    </row>
    <row r="37" spans="1:32" ht="15" customHeight="1" x14ac:dyDescent="0.25">
      <c r="A37" s="71"/>
      <c r="B37" s="607"/>
      <c r="C37" s="608"/>
      <c r="D37" s="609"/>
      <c r="E37" s="148" t="s">
        <v>154</v>
      </c>
      <c r="F37" s="574">
        <f>参照ﾃﾞｰﾀ!Z12</f>
        <v>46285</v>
      </c>
      <c r="G37" s="5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297"/>
      <c r="S37" s="62"/>
      <c r="T37" s="154"/>
      <c r="U37" s="154"/>
      <c r="V37" s="154"/>
      <c r="Y37" s="154"/>
      <c r="Z37" s="154"/>
      <c r="AA37" s="154"/>
    </row>
    <row r="38" spans="1:32" ht="15" customHeight="1" x14ac:dyDescent="0.25">
      <c r="A38" s="71"/>
      <c r="B38" s="607"/>
      <c r="C38" s="608"/>
      <c r="D38" s="609"/>
      <c r="E38" s="149" t="s">
        <v>167</v>
      </c>
      <c r="F38" s="576" t="str">
        <f>参照ﾃﾞｰﾀ!AA12</f>
        <v>A</v>
      </c>
      <c r="G38" s="5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297"/>
      <c r="S38" s="62"/>
      <c r="T38" s="154"/>
      <c r="U38" s="154"/>
      <c r="V38" s="154"/>
      <c r="Y38" s="154"/>
      <c r="Z38" s="154"/>
      <c r="AA38" s="154"/>
    </row>
    <row r="39" spans="1:32" ht="15" customHeight="1" x14ac:dyDescent="0.25">
      <c r="A39" s="71"/>
      <c r="B39" s="607"/>
      <c r="C39" s="608"/>
      <c r="D39" s="609"/>
      <c r="E39" s="578" t="s">
        <v>155</v>
      </c>
      <c r="F39" s="576" t="str">
        <f>参照ﾃﾞｰﾀ!AB12</f>
        <v>飛車角</v>
      </c>
      <c r="G39" s="5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297"/>
      <c r="S39" s="62"/>
      <c r="T39" s="154"/>
      <c r="U39" s="154"/>
      <c r="V39" s="154"/>
      <c r="Y39" s="154"/>
      <c r="Z39" s="154"/>
      <c r="AA39" s="154"/>
    </row>
    <row r="40" spans="1:32" ht="15" customHeight="1" x14ac:dyDescent="0.25">
      <c r="A40" s="71"/>
      <c r="B40" s="607"/>
      <c r="C40" s="608"/>
      <c r="D40" s="609"/>
      <c r="E40" s="578"/>
      <c r="F40" s="576" t="s">
        <v>293</v>
      </c>
      <c r="G40" s="577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297"/>
      <c r="S40" s="62"/>
      <c r="T40" s="154"/>
      <c r="U40" s="154"/>
      <c r="V40" s="154"/>
      <c r="Y40" s="154"/>
      <c r="Z40" s="154"/>
      <c r="AA40" s="154"/>
    </row>
    <row r="41" spans="1:32" ht="11.25" customHeight="1" thickBot="1" x14ac:dyDescent="0.3">
      <c r="A41" s="71"/>
      <c r="B41" s="610"/>
      <c r="C41" s="611"/>
      <c r="D41" s="612"/>
      <c r="E41" s="150"/>
      <c r="F41" s="613"/>
      <c r="G41" s="614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297"/>
      <c r="S41" s="62"/>
      <c r="T41" s="154"/>
      <c r="U41" s="154"/>
      <c r="V41" s="154"/>
      <c r="W41" s="154"/>
      <c r="X41" s="154"/>
      <c r="Y41" s="154"/>
      <c r="Z41" s="154"/>
      <c r="AA41" s="154"/>
    </row>
    <row r="42" spans="1:32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</sheetData>
  <sheetProtection algorithmName="SHA-512" hashValue="3OJYi49OWcofngsIIb4FPUH9K7vdOFOiRllwU4wmnZA8zaV6VVOStzBVa0fh4hWeRIrUoqZ6izbbwzCurBH5kg==" saltValue="KSA9c9l5YRtpq+0p1k+Trg==" spinCount="100000" sheet="1" objects="1" scenarios="1"/>
  <sortState xmlns:xlrd2="http://schemas.microsoft.com/office/spreadsheetml/2017/richdata2" ref="C7:K18">
    <sortCondition ref="K7:K18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9">
    <dataValidation type="list" allowBlank="1" showInputMessage="1" showErrorMessage="1" sqref="P2 F37:G37" xr:uid="{00000000-0002-0000-0100-000000000000}">
      <formula1>開催日</formula1>
    </dataValidation>
    <dataValidation type="list" allowBlank="1" showInputMessage="1" showErrorMessage="1" sqref="Q2:R2" xr:uid="{00000000-0002-0000-0100-000001000000}">
      <formula1>時刻</formula1>
    </dataValidation>
    <dataValidation type="list" allowBlank="1" showInputMessage="1" showErrorMessage="1" sqref="J3:K3" xr:uid="{00000000-0002-0000-0100-000002000000}">
      <formula1>暫定</formula1>
    </dataValidation>
    <dataValidation type="list" allowBlank="1" showInputMessage="1" showErrorMessage="1" sqref="G2" xr:uid="{00000000-0002-0000-0100-000003000000}">
      <formula1>月</formula1>
    </dataValidation>
    <dataValidation type="list" allowBlank="1" showInputMessage="1" showErrorMessage="1" sqref="N2" xr:uid="{00000000-0002-0000-0100-000004000000}">
      <formula1>コース</formula1>
    </dataValidation>
    <dataValidation type="list" showInputMessage="1" showErrorMessage="1" sqref="E3" xr:uid="{00000000-0002-0000-0100-000005000000}">
      <formula1>レース名</formula1>
    </dataValidation>
    <dataValidation type="list" allowBlank="1" showInputMessage="1" showErrorMessage="1" sqref="I6" xr:uid="{00000000-0002-0000-0100-000006000000}">
      <formula1>ＴＡ</formula1>
    </dataValidation>
    <dataValidation type="list" allowBlank="1" showInputMessage="1" showErrorMessage="1" sqref="D3" xr:uid="{00000000-0002-0000-0100-000007000000}">
      <formula1>レース番号</formula1>
    </dataValidation>
    <dataValidation type="list" allowBlank="1" showInputMessage="1" showErrorMessage="1" sqref="O6" xr:uid="{2DA0CF41-6E1B-4CD7-A720-00AE26DA5434}">
      <formula1>$AB$6:$AF$6</formula1>
    </dataValidation>
  </dataValidations>
  <pageMargins left="0.31496062992125984" right="0" top="0.35433070866141736" bottom="0.19685039370078741" header="0" footer="0"/>
  <pageSetup paperSize="9" scale="99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ED8FA3-A675-4FDD-A2EA-136C5D0FA59B}">
          <x14:formula1>
            <xm:f>参照ﾃﾞｰﾀ!$B$4:$B$17</xm:f>
          </x14:formula1>
          <xm:sqref>F38:G38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2"/>
  <sheetViews>
    <sheetView zoomScale="85" zoomScaleNormal="85" workbookViewId="0">
      <selection activeCell="J27" sqref="J27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" style="153" hidden="1" customWidth="1"/>
    <col min="6" max="6" width="5.6328125" style="153" customWidth="1"/>
    <col min="7" max="7" width="10.90625" style="153" customWidth="1"/>
    <col min="8" max="8" width="8.363281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90625" style="153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1.6328125" style="153" customWidth="1"/>
    <col min="18" max="18" width="1.6328125" style="153" customWidth="1"/>
    <col min="19" max="19" width="4.90625" style="153" customWidth="1"/>
    <col min="20" max="22" width="7.6328125" style="153" hidden="1" customWidth="1"/>
    <col min="23" max="23" width="8.26953125" style="153" customWidth="1"/>
    <col min="24" max="26" width="7.6328125" style="153" customWidth="1"/>
    <col min="27" max="27" width="4.453125" style="153" customWidth="1"/>
    <col min="28" max="30" width="8" style="153" customWidth="1"/>
    <col min="31" max="16384" width="9" style="153"/>
  </cols>
  <sheetData>
    <row r="1" spans="1:32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32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163</v>
      </c>
      <c r="H2" s="65"/>
      <c r="I2" s="66"/>
      <c r="J2" s="62"/>
      <c r="K2" s="67"/>
      <c r="L2" s="62"/>
      <c r="M2" s="68" t="s">
        <v>33</v>
      </c>
      <c r="N2" s="518" t="s">
        <v>282</v>
      </c>
      <c r="O2" s="70" t="s">
        <v>35</v>
      </c>
      <c r="P2" s="194">
        <f>参照ﾃﾞｰﾀ!J12</f>
        <v>46285</v>
      </c>
      <c r="Q2" s="573">
        <v>0.4375</v>
      </c>
      <c r="R2" s="294"/>
      <c r="S2" s="62"/>
      <c r="T2" s="155" t="s">
        <v>2</v>
      </c>
      <c r="U2" s="154"/>
      <c r="V2" s="154"/>
      <c r="W2" s="155" t="str">
        <f>参照ＴＡ!T3</f>
        <v>2026年</v>
      </c>
      <c r="X2" s="155" t="str">
        <f>参照ＴＡ!V3</f>
        <v>9月</v>
      </c>
      <c r="Y2" s="154"/>
      <c r="Z2" s="154"/>
      <c r="AA2" s="154"/>
    </row>
    <row r="3" spans="1:32" ht="21.75" customHeight="1" thickBot="1" x14ac:dyDescent="0.35">
      <c r="A3" s="71"/>
      <c r="B3" s="62"/>
      <c r="C3" s="71"/>
      <c r="D3" s="72" t="s">
        <v>274</v>
      </c>
      <c r="E3" s="580" t="s">
        <v>45</v>
      </c>
      <c r="F3" s="580"/>
      <c r="G3" s="580"/>
      <c r="H3" s="580"/>
      <c r="I3" s="580"/>
      <c r="J3" s="581" t="s">
        <v>36</v>
      </c>
      <c r="K3" s="581"/>
      <c r="L3" s="62"/>
      <c r="M3" s="73" t="s">
        <v>56</v>
      </c>
      <c r="N3" s="74">
        <f>IF(ISBLANK(N2),"",VLOOKUP(N2,コース・距離,2,FALSE))</f>
        <v>24.2</v>
      </c>
      <c r="O3" s="75" t="s">
        <v>0</v>
      </c>
      <c r="P3" s="517">
        <v>15</v>
      </c>
      <c r="Q3" s="77" t="s">
        <v>1</v>
      </c>
      <c r="R3" s="295"/>
      <c r="S3" s="62"/>
      <c r="T3" s="154" t="s">
        <v>182</v>
      </c>
      <c r="U3" s="154"/>
      <c r="V3" s="154"/>
      <c r="W3" s="155" t="s">
        <v>2</v>
      </c>
      <c r="X3" s="154"/>
      <c r="Y3" s="154"/>
      <c r="Z3" s="154"/>
      <c r="AA3" s="154"/>
      <c r="AB3" s="156" t="s">
        <v>57</v>
      </c>
    </row>
    <row r="4" spans="1:32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154"/>
      <c r="U4" s="154"/>
      <c r="V4" s="154"/>
      <c r="W4" s="157"/>
      <c r="X4" s="154"/>
      <c r="Y4" s="154"/>
      <c r="Z4" s="154"/>
      <c r="AA4" s="154"/>
    </row>
    <row r="5" spans="1:32" ht="14" x14ac:dyDescent="0.2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296"/>
      <c r="S5" s="151"/>
      <c r="T5" s="160" t="s">
        <v>10</v>
      </c>
      <c r="U5" s="158" t="s">
        <v>10</v>
      </c>
      <c r="V5" s="161" t="s">
        <v>10</v>
      </c>
      <c r="W5" s="160" t="s">
        <v>10</v>
      </c>
      <c r="X5" s="158" t="s">
        <v>10</v>
      </c>
      <c r="Y5" s="356" t="s">
        <v>10</v>
      </c>
      <c r="Z5" s="161" t="s">
        <v>10</v>
      </c>
      <c r="AA5" s="159"/>
      <c r="AB5" s="160" t="s">
        <v>13</v>
      </c>
      <c r="AC5" s="158" t="s">
        <v>13</v>
      </c>
      <c r="AD5" s="356" t="s">
        <v>13</v>
      </c>
      <c r="AE5" s="158" t="s">
        <v>13</v>
      </c>
      <c r="AF5" s="431" t="s">
        <v>13</v>
      </c>
    </row>
    <row r="6" spans="1:32" ht="14" x14ac:dyDescent="0.2">
      <c r="A6" s="71"/>
      <c r="B6" s="81"/>
      <c r="C6" s="82" t="s">
        <v>14</v>
      </c>
      <c r="D6" s="83"/>
      <c r="E6" s="84" t="s">
        <v>15</v>
      </c>
      <c r="F6" s="84"/>
      <c r="G6" s="82" t="s">
        <v>16</v>
      </c>
      <c r="H6" s="84" t="s">
        <v>17</v>
      </c>
      <c r="I6" s="516" t="s">
        <v>265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430" t="str">
        <f>参照ﾃﾞｰﾀ!K12</f>
        <v>MAX=30</v>
      </c>
      <c r="P6" s="86"/>
      <c r="Q6" s="87"/>
      <c r="R6" s="151"/>
      <c r="S6" s="152"/>
      <c r="T6" s="164" t="s">
        <v>20</v>
      </c>
      <c r="U6" s="162" t="s">
        <v>22</v>
      </c>
      <c r="V6" s="165" t="s">
        <v>21</v>
      </c>
      <c r="W6" s="164" t="s">
        <v>20</v>
      </c>
      <c r="X6" s="162" t="s">
        <v>22</v>
      </c>
      <c r="Y6" s="471" t="s">
        <v>21</v>
      </c>
      <c r="Z6" s="165" t="s">
        <v>250</v>
      </c>
      <c r="AA6" s="163"/>
      <c r="AB6" s="439" t="s">
        <v>206</v>
      </c>
      <c r="AC6" s="430" t="s">
        <v>59</v>
      </c>
      <c r="AD6" s="440" t="s">
        <v>205</v>
      </c>
      <c r="AE6" s="430" t="s">
        <v>251</v>
      </c>
      <c r="AF6" s="436" t="s">
        <v>252</v>
      </c>
    </row>
    <row r="7" spans="1:32" ht="14" x14ac:dyDescent="0.2">
      <c r="A7" s="71"/>
      <c r="B7" s="88">
        <v>1</v>
      </c>
      <c r="C7" s="89"/>
      <c r="D7" s="90" t="str">
        <f t="shared" ref="D7:D31" si="0">IF(ISBLANK(C7),"",VLOOKUP(C7,第3月ＴＡ,2,FALSE))</f>
        <v/>
      </c>
      <c r="E7" s="179" t="str">
        <f t="shared" ref="E7:E11" si="1">IF($I$6="Ⅰ",T7,IF($I$6="Ⅱ",U7,IF($I$6="Ⅲ",V7,"")))</f>
        <v/>
      </c>
      <c r="F7" s="91">
        <v>1</v>
      </c>
      <c r="G7" s="92"/>
      <c r="H7" s="89" t="str">
        <f t="shared" ref="H7:H11" si="2">IFERROR(IF(G7-$Q$2&lt;=0,"",(G7-$Q$2)*86400),"")</f>
        <v/>
      </c>
      <c r="I7" s="93" t="str">
        <f>IF($I$6="Ⅰ",W7,IF($I$6="Ⅱ",X7,IF($I$6="Ⅲ",Y7,IF($I$6="IV",Z7,""))))</f>
        <v/>
      </c>
      <c r="J7" s="91"/>
      <c r="K7" s="94" t="str">
        <f t="shared" ref="K7:K11" si="3">IFERROR(H7*(1+0.01*J7)-I7*$N$3,"")</f>
        <v/>
      </c>
      <c r="L7" s="92" t="str">
        <f t="shared" ref="L7:L11" si="4">IFERROR((K7-$K$7)/86400,"")</f>
        <v/>
      </c>
      <c r="M7" s="95" t="str">
        <f t="shared" ref="M7:M11" si="5">IFERROR((K7-$K$7)/$N$3,"")</f>
        <v/>
      </c>
      <c r="N7" s="96" t="str">
        <f t="shared" ref="N7:N11" si="6">IFERROR($N$3/(H7/3600),"")</f>
        <v/>
      </c>
      <c r="O7" s="445">
        <f t="shared" ref="O7:O8" si="7">ROUND(IF($O$6="MAX=15",AB7,IF($O$6="MAX=20",AC7,IF($O$6="MAX=25",AD7,IF($O$6="MAX=30",AE7,IF($O$6="MAX=40",AF7))))),1)</f>
        <v>30</v>
      </c>
      <c r="P7" s="184"/>
      <c r="Q7" s="98"/>
      <c r="R7" s="151"/>
      <c r="S7" s="151"/>
      <c r="T7" s="167" t="str">
        <f t="shared" ref="T7:T31" si="8">IF(ISBLANK(C7),"",VLOOKUP(C7,各艇データ,3,FALSE))</f>
        <v/>
      </c>
      <c r="U7" s="168" t="str">
        <f t="shared" ref="U7:U31" si="9">IF(ISBLANK(C7),"",VLOOKUP(C7,各艇データ,4,FALSE))</f>
        <v/>
      </c>
      <c r="V7" s="169" t="str">
        <f t="shared" ref="V7:V31" si="10">IF(ISBLANK(C7),"",VLOOKUP(C7,各艇データ,5,FALSE))</f>
        <v/>
      </c>
      <c r="W7" s="350" t="str">
        <f t="shared" ref="W7:W31" si="11">IF(ISBLANK(C7),"",VLOOKUP(C7,第3月ＴＡ,3,FALSE))</f>
        <v/>
      </c>
      <c r="X7" s="351" t="str">
        <f t="shared" ref="X7:X31" si="12">IF(ISBLANK(C7),"",VLOOKUP(C7,第3月ＴＡ,4,FALSE))</f>
        <v/>
      </c>
      <c r="Y7" s="472" t="str">
        <f t="shared" ref="Y7:Y31" si="13">IF(ISBLANK(C7),"",VLOOKUP(C7,第3月ＴＡ,5,FALSE))</f>
        <v/>
      </c>
      <c r="Z7" s="170" t="str">
        <f t="shared" ref="Z7:Z31" si="14">IF(ISBLANK(C7),"",VLOOKUP(C7,第1月ＴＡ,6,FALSE))</f>
        <v/>
      </c>
      <c r="AA7" s="159"/>
      <c r="AB7" s="171">
        <f>IF(ISBLANK($B7),"",IFERROR(15*($P$3+1-$B7)/$P$3,"15.0"))</f>
        <v>15</v>
      </c>
      <c r="AC7" s="166">
        <f>IF(ISBLANK($B7),"",IFERROR(20*($P$3+1-$B7)/$P$3,"20.0"))</f>
        <v>20</v>
      </c>
      <c r="AD7" s="166">
        <f>IF(ISBLANK($B7),"",IFERROR(25*($P$3+1-$B7)/$P$3,"25.0"))</f>
        <v>25</v>
      </c>
      <c r="AE7" s="166">
        <f>IF(ISBLANK($B7),"",IFERROR(30*($P$3+1-$B7)/$P$3,"30.0"))</f>
        <v>30</v>
      </c>
      <c r="AF7" s="441">
        <f>IF(ISBLANK($B7),"",IFERROR(40*($P$3+1-$B7)/$P$3,"40.0"))</f>
        <v>40</v>
      </c>
    </row>
    <row r="8" spans="1:32" ht="14" x14ac:dyDescent="0.2">
      <c r="A8" s="71"/>
      <c r="B8" s="99">
        <v>2</v>
      </c>
      <c r="C8" s="100"/>
      <c r="D8" s="101" t="str">
        <f t="shared" si="0"/>
        <v/>
      </c>
      <c r="E8" s="180" t="str">
        <f t="shared" si="1"/>
        <v/>
      </c>
      <c r="F8" s="102">
        <v>2</v>
      </c>
      <c r="G8" s="103"/>
      <c r="H8" s="100" t="str">
        <f t="shared" si="2"/>
        <v/>
      </c>
      <c r="I8" s="104" t="str">
        <f t="shared" ref="I8:I31" si="15">IF($I$6="Ⅰ",W8,IF($I$6="Ⅱ",X8,IF($I$6="Ⅲ",Y8,IF($I$6="IV",Z8,""))))</f>
        <v/>
      </c>
      <c r="J8" s="102"/>
      <c r="K8" s="105" t="str">
        <f t="shared" si="3"/>
        <v/>
      </c>
      <c r="L8" s="103" t="str">
        <f t="shared" si="4"/>
        <v/>
      </c>
      <c r="M8" s="106" t="str">
        <f t="shared" si="5"/>
        <v/>
      </c>
      <c r="N8" s="107" t="str">
        <f t="shared" si="6"/>
        <v/>
      </c>
      <c r="O8" s="380">
        <f t="shared" si="7"/>
        <v>28</v>
      </c>
      <c r="P8" s="109"/>
      <c r="Q8" s="110"/>
      <c r="R8" s="151"/>
      <c r="S8" s="151"/>
      <c r="T8" s="167" t="str">
        <f t="shared" si="8"/>
        <v/>
      </c>
      <c r="U8" s="168" t="str">
        <f t="shared" si="9"/>
        <v/>
      </c>
      <c r="V8" s="169" t="str">
        <f t="shared" si="10"/>
        <v/>
      </c>
      <c r="W8" s="350" t="str">
        <f t="shared" si="11"/>
        <v/>
      </c>
      <c r="X8" s="351" t="str">
        <f t="shared" si="12"/>
        <v/>
      </c>
      <c r="Y8" s="472" t="str">
        <f t="shared" si="13"/>
        <v/>
      </c>
      <c r="Z8" s="170" t="str">
        <f t="shared" si="14"/>
        <v/>
      </c>
      <c r="AA8" s="159"/>
      <c r="AB8" s="171">
        <f t="shared" ref="AB8:AB30" si="16">IF(ISBLANK($B8),"",IFERROR(15*($P$3+1-$B8)/$P$3,"15.0"))</f>
        <v>14</v>
      </c>
      <c r="AC8" s="166">
        <f t="shared" ref="AC8:AC30" si="17">IF(ISBLANK($B8),"",IFERROR(20*($P$3+1-$B8)/$P$3,"20.0"))</f>
        <v>18.666666666666668</v>
      </c>
      <c r="AD8" s="166">
        <f t="shared" ref="AD8:AD30" si="18">IF(ISBLANK($B8),"",IFERROR(25*($P$3+1-$B8)/$P$3,"25.0"))</f>
        <v>23.333333333333332</v>
      </c>
      <c r="AE8" s="166">
        <f t="shared" ref="AE8:AE26" si="19">IF(ISBLANK($B8),"",IFERROR(30*($P$3+1-$B8)/$P$3,"30.0"))</f>
        <v>28</v>
      </c>
      <c r="AF8" s="441">
        <f t="shared" ref="AF8:AF31" si="20">IF(ISBLANK($B8),"",IFERROR(40*($P$3+1-$B8)/$P$3,"40.0"))</f>
        <v>37.333333333333336</v>
      </c>
    </row>
    <row r="9" spans="1:32" ht="14" x14ac:dyDescent="0.2">
      <c r="A9" s="71"/>
      <c r="B9" s="99">
        <v>3</v>
      </c>
      <c r="C9" s="100"/>
      <c r="D9" s="101" t="str">
        <f t="shared" si="0"/>
        <v/>
      </c>
      <c r="E9" s="180" t="str">
        <f t="shared" si="1"/>
        <v/>
      </c>
      <c r="F9" s="102">
        <v>3</v>
      </c>
      <c r="G9" s="103"/>
      <c r="H9" s="100" t="str">
        <f t="shared" si="2"/>
        <v/>
      </c>
      <c r="I9" s="104" t="str">
        <f t="shared" si="15"/>
        <v/>
      </c>
      <c r="J9" s="102"/>
      <c r="K9" s="105" t="str">
        <f t="shared" si="3"/>
        <v/>
      </c>
      <c r="L9" s="103" t="str">
        <f t="shared" si="4"/>
        <v/>
      </c>
      <c r="M9" s="106" t="str">
        <f t="shared" si="5"/>
        <v/>
      </c>
      <c r="N9" s="107" t="str">
        <f t="shared" si="6"/>
        <v/>
      </c>
      <c r="O9" s="380">
        <f>ROUND(IF($O$6="MAX=15",AB9,IF($O$6="MAX=20",AC9,IF($O$6="MAX=25",AD9,IF($O$6="MAX=30",AE9,IF($O$6="MAX=40",AF9))))),1)</f>
        <v>26</v>
      </c>
      <c r="P9" s="109"/>
      <c r="Q9" s="110"/>
      <c r="R9" s="151"/>
      <c r="S9" s="151"/>
      <c r="T9" s="167" t="str">
        <f t="shared" si="8"/>
        <v/>
      </c>
      <c r="U9" s="168" t="str">
        <f t="shared" si="9"/>
        <v/>
      </c>
      <c r="V9" s="169" t="str">
        <f t="shared" si="10"/>
        <v/>
      </c>
      <c r="W9" s="350" t="str">
        <f t="shared" si="11"/>
        <v/>
      </c>
      <c r="X9" s="351" t="str">
        <f t="shared" si="12"/>
        <v/>
      </c>
      <c r="Y9" s="472" t="str">
        <f t="shared" si="13"/>
        <v/>
      </c>
      <c r="Z9" s="170" t="str">
        <f t="shared" si="14"/>
        <v/>
      </c>
      <c r="AA9" s="159"/>
      <c r="AB9" s="171">
        <f t="shared" si="16"/>
        <v>13</v>
      </c>
      <c r="AC9" s="166">
        <f t="shared" si="17"/>
        <v>17.333333333333332</v>
      </c>
      <c r="AD9" s="166">
        <f t="shared" si="18"/>
        <v>21.666666666666668</v>
      </c>
      <c r="AE9" s="166">
        <f t="shared" si="19"/>
        <v>26</v>
      </c>
      <c r="AF9" s="441">
        <f t="shared" si="20"/>
        <v>34.666666666666664</v>
      </c>
    </row>
    <row r="10" spans="1:32" ht="14" x14ac:dyDescent="0.2">
      <c r="A10" s="71"/>
      <c r="B10" s="99">
        <v>4</v>
      </c>
      <c r="C10" s="100"/>
      <c r="D10" s="101" t="str">
        <f t="shared" si="0"/>
        <v/>
      </c>
      <c r="E10" s="180" t="str">
        <f t="shared" si="1"/>
        <v/>
      </c>
      <c r="F10" s="102">
        <v>4</v>
      </c>
      <c r="G10" s="103"/>
      <c r="H10" s="100" t="str">
        <f t="shared" si="2"/>
        <v/>
      </c>
      <c r="I10" s="104" t="str">
        <f t="shared" si="15"/>
        <v/>
      </c>
      <c r="J10" s="102"/>
      <c r="K10" s="105" t="str">
        <f t="shared" si="3"/>
        <v/>
      </c>
      <c r="L10" s="103" t="str">
        <f t="shared" si="4"/>
        <v/>
      </c>
      <c r="M10" s="106" t="str">
        <f t="shared" si="5"/>
        <v/>
      </c>
      <c r="N10" s="107" t="str">
        <f t="shared" si="6"/>
        <v/>
      </c>
      <c r="O10" s="380">
        <f t="shared" ref="O10:O31" si="21">ROUND(IF($O$6="MAX=15",AB10,IF($O$6="MAX=20",AC10,IF($O$6="MAX=25",AD10,IF($O$6="MAX=30",AE10,IF($O$6="MAX=40",AF10))))),1)</f>
        <v>24</v>
      </c>
      <c r="P10" s="175"/>
      <c r="Q10" s="110"/>
      <c r="R10" s="151"/>
      <c r="S10" s="151"/>
      <c r="T10" s="167" t="str">
        <f t="shared" si="8"/>
        <v/>
      </c>
      <c r="U10" s="168" t="str">
        <f t="shared" si="9"/>
        <v/>
      </c>
      <c r="V10" s="169" t="str">
        <f t="shared" si="10"/>
        <v/>
      </c>
      <c r="W10" s="350" t="str">
        <f t="shared" si="11"/>
        <v/>
      </c>
      <c r="X10" s="351" t="str">
        <f t="shared" si="12"/>
        <v/>
      </c>
      <c r="Y10" s="472" t="str">
        <f t="shared" si="13"/>
        <v/>
      </c>
      <c r="Z10" s="170" t="str">
        <f t="shared" si="14"/>
        <v/>
      </c>
      <c r="AA10" s="159"/>
      <c r="AB10" s="171">
        <f t="shared" si="16"/>
        <v>12</v>
      </c>
      <c r="AC10" s="166">
        <f t="shared" si="17"/>
        <v>16</v>
      </c>
      <c r="AD10" s="166">
        <f t="shared" si="18"/>
        <v>20</v>
      </c>
      <c r="AE10" s="166">
        <f t="shared" si="19"/>
        <v>24</v>
      </c>
      <c r="AF10" s="441">
        <f t="shared" si="20"/>
        <v>32</v>
      </c>
    </row>
    <row r="11" spans="1:32" ht="14" x14ac:dyDescent="0.2">
      <c r="A11" s="71"/>
      <c r="B11" s="111">
        <v>5</v>
      </c>
      <c r="C11" s="112"/>
      <c r="D11" s="113" t="str">
        <f t="shared" si="0"/>
        <v/>
      </c>
      <c r="E11" s="181" t="str">
        <f t="shared" si="1"/>
        <v/>
      </c>
      <c r="F11" s="114">
        <v>5</v>
      </c>
      <c r="G11" s="115"/>
      <c r="H11" s="116" t="str">
        <f t="shared" si="2"/>
        <v/>
      </c>
      <c r="I11" s="117" t="str">
        <f t="shared" si="15"/>
        <v/>
      </c>
      <c r="J11" s="118"/>
      <c r="K11" s="119" t="str">
        <f t="shared" si="3"/>
        <v/>
      </c>
      <c r="L11" s="120" t="str">
        <f t="shared" si="4"/>
        <v/>
      </c>
      <c r="M11" s="121" t="str">
        <f t="shared" si="5"/>
        <v/>
      </c>
      <c r="N11" s="122" t="str">
        <f t="shared" si="6"/>
        <v/>
      </c>
      <c r="O11" s="446">
        <f t="shared" si="21"/>
        <v>22</v>
      </c>
      <c r="P11" s="124"/>
      <c r="Q11" s="125"/>
      <c r="R11" s="151"/>
      <c r="S11" s="151"/>
      <c r="T11" s="167" t="str">
        <f t="shared" si="8"/>
        <v/>
      </c>
      <c r="U11" s="168" t="str">
        <f t="shared" si="9"/>
        <v/>
      </c>
      <c r="V11" s="169" t="str">
        <f t="shared" si="10"/>
        <v/>
      </c>
      <c r="W11" s="350" t="str">
        <f t="shared" si="11"/>
        <v/>
      </c>
      <c r="X11" s="351" t="str">
        <f t="shared" si="12"/>
        <v/>
      </c>
      <c r="Y11" s="472" t="str">
        <f t="shared" si="13"/>
        <v/>
      </c>
      <c r="Z11" s="170" t="str">
        <f t="shared" si="14"/>
        <v/>
      </c>
      <c r="AA11" s="159"/>
      <c r="AB11" s="171">
        <f t="shared" si="16"/>
        <v>11</v>
      </c>
      <c r="AC11" s="166">
        <f t="shared" si="17"/>
        <v>14.666666666666666</v>
      </c>
      <c r="AD11" s="166">
        <f t="shared" si="18"/>
        <v>18.333333333333332</v>
      </c>
      <c r="AE11" s="166">
        <f t="shared" si="19"/>
        <v>22</v>
      </c>
      <c r="AF11" s="441">
        <f t="shared" si="20"/>
        <v>29.333333333333332</v>
      </c>
    </row>
    <row r="12" spans="1:32" ht="14" x14ac:dyDescent="0.2">
      <c r="A12" s="71"/>
      <c r="B12" s="88">
        <v>6</v>
      </c>
      <c r="C12" s="89"/>
      <c r="D12" s="145" t="str">
        <f t="shared" si="0"/>
        <v/>
      </c>
      <c r="E12" s="179" t="str">
        <f t="shared" ref="E12:E26" si="22">IF($I$6="Ⅰ",T12,IF($I$6="Ⅱ",U12,IF($I$6="Ⅲ",V12,"")))</f>
        <v/>
      </c>
      <c r="F12" s="91">
        <v>6</v>
      </c>
      <c r="G12" s="92"/>
      <c r="H12" s="89" t="str">
        <f t="shared" ref="H12:H26" si="23">IFERROR(IF(G12-$Q$2&lt;=0,"",(G12-$Q$2)*86400),"")</f>
        <v/>
      </c>
      <c r="I12" s="93" t="str">
        <f t="shared" si="15"/>
        <v/>
      </c>
      <c r="J12" s="91"/>
      <c r="K12" s="94" t="str">
        <f t="shared" ref="K12:K26" si="24">IFERROR(H12*(1+0.01*J12)-I12*$N$3,"")</f>
        <v/>
      </c>
      <c r="L12" s="92" t="str">
        <f t="shared" ref="L12:L26" si="25">IFERROR((K12-$K$7)/86400,"")</f>
        <v/>
      </c>
      <c r="M12" s="95" t="str">
        <f t="shared" ref="M12:M26" si="26">IFERROR((K12-$K$7)/$N$3,"")</f>
        <v/>
      </c>
      <c r="N12" s="96" t="str">
        <f t="shared" ref="N12:N26" si="27">IFERROR($N$3/(H12/3600),"")</f>
        <v/>
      </c>
      <c r="O12" s="445">
        <f t="shared" si="21"/>
        <v>20</v>
      </c>
      <c r="P12" s="71"/>
      <c r="Q12" s="98"/>
      <c r="R12" s="151"/>
      <c r="S12" s="151"/>
      <c r="T12" s="167" t="str">
        <f t="shared" si="8"/>
        <v/>
      </c>
      <c r="U12" s="168" t="str">
        <f t="shared" si="9"/>
        <v/>
      </c>
      <c r="V12" s="169" t="str">
        <f t="shared" si="10"/>
        <v/>
      </c>
      <c r="W12" s="350" t="str">
        <f t="shared" si="11"/>
        <v/>
      </c>
      <c r="X12" s="351" t="str">
        <f t="shared" si="12"/>
        <v/>
      </c>
      <c r="Y12" s="472" t="str">
        <f t="shared" si="13"/>
        <v/>
      </c>
      <c r="Z12" s="170" t="str">
        <f t="shared" si="14"/>
        <v/>
      </c>
      <c r="AA12" s="159"/>
      <c r="AB12" s="171">
        <f t="shared" si="16"/>
        <v>10</v>
      </c>
      <c r="AC12" s="166">
        <f t="shared" si="17"/>
        <v>13.333333333333334</v>
      </c>
      <c r="AD12" s="166">
        <f t="shared" si="18"/>
        <v>16.666666666666668</v>
      </c>
      <c r="AE12" s="166">
        <f t="shared" si="19"/>
        <v>20</v>
      </c>
      <c r="AF12" s="441">
        <f t="shared" si="20"/>
        <v>26.666666666666668</v>
      </c>
    </row>
    <row r="13" spans="1:32" ht="14" x14ac:dyDescent="0.2">
      <c r="A13" s="71"/>
      <c r="B13" s="99">
        <v>7</v>
      </c>
      <c r="C13" s="100"/>
      <c r="D13" s="101" t="str">
        <f t="shared" si="0"/>
        <v/>
      </c>
      <c r="E13" s="180" t="str">
        <f t="shared" si="22"/>
        <v/>
      </c>
      <c r="F13" s="102">
        <v>7</v>
      </c>
      <c r="G13" s="103"/>
      <c r="H13" s="100" t="str">
        <f t="shared" si="23"/>
        <v/>
      </c>
      <c r="I13" s="104" t="str">
        <f t="shared" si="15"/>
        <v/>
      </c>
      <c r="J13" s="102"/>
      <c r="K13" s="105" t="str">
        <f t="shared" si="24"/>
        <v/>
      </c>
      <c r="L13" s="103" t="str">
        <f t="shared" si="25"/>
        <v/>
      </c>
      <c r="M13" s="106" t="str">
        <f t="shared" si="26"/>
        <v/>
      </c>
      <c r="N13" s="107" t="str">
        <f t="shared" si="27"/>
        <v/>
      </c>
      <c r="O13" s="380">
        <f t="shared" si="21"/>
        <v>18</v>
      </c>
      <c r="P13" s="142"/>
      <c r="Q13" s="110"/>
      <c r="R13" s="151"/>
      <c r="S13" s="151"/>
      <c r="T13" s="167" t="str">
        <f t="shared" si="8"/>
        <v/>
      </c>
      <c r="U13" s="168" t="str">
        <f t="shared" si="9"/>
        <v/>
      </c>
      <c r="V13" s="169" t="str">
        <f t="shared" si="10"/>
        <v/>
      </c>
      <c r="W13" s="350" t="str">
        <f t="shared" si="11"/>
        <v/>
      </c>
      <c r="X13" s="351" t="str">
        <f t="shared" si="12"/>
        <v/>
      </c>
      <c r="Y13" s="472" t="str">
        <f t="shared" si="13"/>
        <v/>
      </c>
      <c r="Z13" s="170" t="str">
        <f t="shared" si="14"/>
        <v/>
      </c>
      <c r="AA13" s="159"/>
      <c r="AB13" s="171">
        <f t="shared" si="16"/>
        <v>9</v>
      </c>
      <c r="AC13" s="166">
        <f t="shared" si="17"/>
        <v>12</v>
      </c>
      <c r="AD13" s="166">
        <f t="shared" si="18"/>
        <v>15</v>
      </c>
      <c r="AE13" s="166">
        <f t="shared" si="19"/>
        <v>18</v>
      </c>
      <c r="AF13" s="441">
        <f t="shared" si="20"/>
        <v>24</v>
      </c>
    </row>
    <row r="14" spans="1:32" ht="14" x14ac:dyDescent="0.2">
      <c r="A14" s="71"/>
      <c r="B14" s="99">
        <v>8</v>
      </c>
      <c r="C14" s="100"/>
      <c r="D14" s="101" t="str">
        <f t="shared" si="0"/>
        <v/>
      </c>
      <c r="E14" s="180" t="str">
        <f t="shared" si="22"/>
        <v/>
      </c>
      <c r="F14" s="102">
        <v>8</v>
      </c>
      <c r="G14" s="103"/>
      <c r="H14" s="100" t="str">
        <f t="shared" si="23"/>
        <v/>
      </c>
      <c r="I14" s="104" t="str">
        <f t="shared" si="15"/>
        <v/>
      </c>
      <c r="J14" s="102"/>
      <c r="K14" s="105" t="str">
        <f t="shared" si="24"/>
        <v/>
      </c>
      <c r="L14" s="103" t="str">
        <f t="shared" si="25"/>
        <v/>
      </c>
      <c r="M14" s="106" t="str">
        <f t="shared" si="26"/>
        <v/>
      </c>
      <c r="N14" s="107" t="str">
        <f t="shared" si="27"/>
        <v/>
      </c>
      <c r="O14" s="380">
        <f t="shared" si="21"/>
        <v>16</v>
      </c>
      <c r="P14" s="109"/>
      <c r="Q14" s="110"/>
      <c r="R14" s="151"/>
      <c r="S14" s="151"/>
      <c r="T14" s="167" t="str">
        <f t="shared" si="8"/>
        <v/>
      </c>
      <c r="U14" s="168" t="str">
        <f t="shared" si="9"/>
        <v/>
      </c>
      <c r="V14" s="169" t="str">
        <f t="shared" si="10"/>
        <v/>
      </c>
      <c r="W14" s="350" t="str">
        <f t="shared" si="11"/>
        <v/>
      </c>
      <c r="X14" s="351" t="str">
        <f t="shared" si="12"/>
        <v/>
      </c>
      <c r="Y14" s="472" t="str">
        <f t="shared" si="13"/>
        <v/>
      </c>
      <c r="Z14" s="170" t="str">
        <f t="shared" si="14"/>
        <v/>
      </c>
      <c r="AA14" s="159"/>
      <c r="AB14" s="171">
        <f t="shared" si="16"/>
        <v>8</v>
      </c>
      <c r="AC14" s="166">
        <f t="shared" si="17"/>
        <v>10.666666666666666</v>
      </c>
      <c r="AD14" s="166">
        <f t="shared" si="18"/>
        <v>13.333333333333334</v>
      </c>
      <c r="AE14" s="166">
        <f t="shared" si="19"/>
        <v>16</v>
      </c>
      <c r="AF14" s="441">
        <f t="shared" si="20"/>
        <v>21.333333333333332</v>
      </c>
    </row>
    <row r="15" spans="1:32" ht="14" x14ac:dyDescent="0.2">
      <c r="A15" s="71"/>
      <c r="B15" s="99">
        <v>9</v>
      </c>
      <c r="C15" s="100"/>
      <c r="D15" s="101" t="str">
        <f t="shared" si="0"/>
        <v/>
      </c>
      <c r="E15" s="180" t="str">
        <f t="shared" si="22"/>
        <v/>
      </c>
      <c r="F15" s="102">
        <v>9</v>
      </c>
      <c r="G15" s="103"/>
      <c r="H15" s="100" t="str">
        <f t="shared" si="23"/>
        <v/>
      </c>
      <c r="I15" s="104" t="str">
        <f t="shared" si="15"/>
        <v/>
      </c>
      <c r="J15" s="102"/>
      <c r="K15" s="105" t="str">
        <f t="shared" si="24"/>
        <v/>
      </c>
      <c r="L15" s="103" t="str">
        <f t="shared" si="25"/>
        <v/>
      </c>
      <c r="M15" s="106" t="str">
        <f t="shared" si="26"/>
        <v/>
      </c>
      <c r="N15" s="107" t="str">
        <f t="shared" si="27"/>
        <v/>
      </c>
      <c r="O15" s="380">
        <f t="shared" si="21"/>
        <v>14</v>
      </c>
      <c r="P15" s="142"/>
      <c r="Q15" s="110"/>
      <c r="R15" s="151"/>
      <c r="S15" s="151"/>
      <c r="T15" s="167" t="str">
        <f t="shared" si="8"/>
        <v/>
      </c>
      <c r="U15" s="168" t="str">
        <f t="shared" si="9"/>
        <v/>
      </c>
      <c r="V15" s="169" t="str">
        <f t="shared" si="10"/>
        <v/>
      </c>
      <c r="W15" s="350" t="str">
        <f t="shared" si="11"/>
        <v/>
      </c>
      <c r="X15" s="351" t="str">
        <f t="shared" si="12"/>
        <v/>
      </c>
      <c r="Y15" s="472" t="str">
        <f t="shared" si="13"/>
        <v/>
      </c>
      <c r="Z15" s="170" t="str">
        <f t="shared" si="14"/>
        <v/>
      </c>
      <c r="AA15" s="159"/>
      <c r="AB15" s="171">
        <f t="shared" si="16"/>
        <v>7</v>
      </c>
      <c r="AC15" s="166">
        <f t="shared" si="17"/>
        <v>9.3333333333333339</v>
      </c>
      <c r="AD15" s="166">
        <f t="shared" si="18"/>
        <v>11.666666666666666</v>
      </c>
      <c r="AE15" s="166">
        <f t="shared" si="19"/>
        <v>14</v>
      </c>
      <c r="AF15" s="441">
        <f t="shared" si="20"/>
        <v>18.666666666666668</v>
      </c>
    </row>
    <row r="16" spans="1:32" ht="14" x14ac:dyDescent="0.2">
      <c r="A16" s="71"/>
      <c r="B16" s="111">
        <v>10</v>
      </c>
      <c r="C16" s="112"/>
      <c r="D16" s="113" t="str">
        <f t="shared" si="0"/>
        <v/>
      </c>
      <c r="E16" s="181" t="str">
        <f t="shared" si="22"/>
        <v/>
      </c>
      <c r="F16" s="114">
        <v>10</v>
      </c>
      <c r="G16" s="115"/>
      <c r="H16" s="116" t="str">
        <f t="shared" si="23"/>
        <v/>
      </c>
      <c r="I16" s="117" t="str">
        <f t="shared" si="15"/>
        <v/>
      </c>
      <c r="J16" s="118"/>
      <c r="K16" s="119" t="str">
        <f t="shared" si="24"/>
        <v/>
      </c>
      <c r="L16" s="120" t="str">
        <f t="shared" si="25"/>
        <v/>
      </c>
      <c r="M16" s="121" t="str">
        <f t="shared" si="26"/>
        <v/>
      </c>
      <c r="N16" s="122" t="str">
        <f t="shared" si="27"/>
        <v/>
      </c>
      <c r="O16" s="446">
        <f t="shared" si="21"/>
        <v>12</v>
      </c>
      <c r="P16" s="177"/>
      <c r="Q16" s="125"/>
      <c r="R16" s="151"/>
      <c r="S16" s="151"/>
      <c r="T16" s="167" t="str">
        <f t="shared" si="8"/>
        <v/>
      </c>
      <c r="U16" s="168" t="str">
        <f t="shared" si="9"/>
        <v/>
      </c>
      <c r="V16" s="169" t="str">
        <f t="shared" si="10"/>
        <v/>
      </c>
      <c r="W16" s="350" t="str">
        <f t="shared" si="11"/>
        <v/>
      </c>
      <c r="X16" s="351" t="str">
        <f t="shared" si="12"/>
        <v/>
      </c>
      <c r="Y16" s="472" t="str">
        <f t="shared" si="13"/>
        <v/>
      </c>
      <c r="Z16" s="170" t="str">
        <f t="shared" si="14"/>
        <v/>
      </c>
      <c r="AA16" s="159"/>
      <c r="AB16" s="171">
        <f t="shared" si="16"/>
        <v>6</v>
      </c>
      <c r="AC16" s="166">
        <f t="shared" si="17"/>
        <v>8</v>
      </c>
      <c r="AD16" s="166">
        <f t="shared" si="18"/>
        <v>10</v>
      </c>
      <c r="AE16" s="166">
        <f t="shared" si="19"/>
        <v>12</v>
      </c>
      <c r="AF16" s="441">
        <f t="shared" si="20"/>
        <v>16</v>
      </c>
    </row>
    <row r="17" spans="1:32" ht="14" x14ac:dyDescent="0.2">
      <c r="A17" s="71"/>
      <c r="B17" s="88">
        <v>11</v>
      </c>
      <c r="C17" s="89"/>
      <c r="D17" s="145" t="str">
        <f t="shared" si="0"/>
        <v/>
      </c>
      <c r="E17" s="179" t="str">
        <f t="shared" si="22"/>
        <v/>
      </c>
      <c r="F17" s="324">
        <v>11</v>
      </c>
      <c r="G17" s="92"/>
      <c r="H17" s="89" t="str">
        <f t="shared" si="23"/>
        <v/>
      </c>
      <c r="I17" s="93" t="str">
        <f t="shared" si="15"/>
        <v/>
      </c>
      <c r="J17" s="91"/>
      <c r="K17" s="94" t="str">
        <f t="shared" si="24"/>
        <v/>
      </c>
      <c r="L17" s="92" t="str">
        <f t="shared" si="25"/>
        <v/>
      </c>
      <c r="M17" s="95" t="str">
        <f t="shared" si="26"/>
        <v/>
      </c>
      <c r="N17" s="96" t="str">
        <f t="shared" si="27"/>
        <v/>
      </c>
      <c r="O17" s="445">
        <f t="shared" si="21"/>
        <v>10</v>
      </c>
      <c r="P17" s="178"/>
      <c r="Q17" s="98"/>
      <c r="R17" s="151"/>
      <c r="S17" s="151"/>
      <c r="T17" s="167" t="str">
        <f t="shared" si="8"/>
        <v/>
      </c>
      <c r="U17" s="168" t="str">
        <f t="shared" si="9"/>
        <v/>
      </c>
      <c r="V17" s="169" t="str">
        <f t="shared" si="10"/>
        <v/>
      </c>
      <c r="W17" s="350" t="str">
        <f t="shared" si="11"/>
        <v/>
      </c>
      <c r="X17" s="351" t="str">
        <f t="shared" si="12"/>
        <v/>
      </c>
      <c r="Y17" s="472" t="str">
        <f t="shared" si="13"/>
        <v/>
      </c>
      <c r="Z17" s="170" t="str">
        <f t="shared" si="14"/>
        <v/>
      </c>
      <c r="AA17" s="159"/>
      <c r="AB17" s="171">
        <f t="shared" si="16"/>
        <v>5</v>
      </c>
      <c r="AC17" s="166">
        <f t="shared" si="17"/>
        <v>6.666666666666667</v>
      </c>
      <c r="AD17" s="166">
        <f t="shared" si="18"/>
        <v>8.3333333333333339</v>
      </c>
      <c r="AE17" s="166">
        <f t="shared" si="19"/>
        <v>10</v>
      </c>
      <c r="AF17" s="441">
        <f t="shared" si="20"/>
        <v>13.333333333333334</v>
      </c>
    </row>
    <row r="18" spans="1:32" ht="14" x14ac:dyDescent="0.2">
      <c r="A18" s="71"/>
      <c r="B18" s="99">
        <v>12</v>
      </c>
      <c r="C18" s="100"/>
      <c r="D18" s="101" t="str">
        <f t="shared" si="0"/>
        <v/>
      </c>
      <c r="E18" s="180" t="str">
        <f t="shared" si="22"/>
        <v/>
      </c>
      <c r="F18" s="325">
        <v>12</v>
      </c>
      <c r="G18" s="103"/>
      <c r="H18" s="100" t="str">
        <f t="shared" si="23"/>
        <v/>
      </c>
      <c r="I18" s="104" t="str">
        <f t="shared" si="15"/>
        <v/>
      </c>
      <c r="J18" s="102"/>
      <c r="K18" s="105" t="str">
        <f t="shared" si="24"/>
        <v/>
      </c>
      <c r="L18" s="103" t="str">
        <f t="shared" si="25"/>
        <v/>
      </c>
      <c r="M18" s="106" t="str">
        <f t="shared" si="26"/>
        <v/>
      </c>
      <c r="N18" s="107" t="str">
        <f t="shared" si="27"/>
        <v/>
      </c>
      <c r="O18" s="380">
        <f t="shared" si="21"/>
        <v>8</v>
      </c>
      <c r="P18" s="142"/>
      <c r="Q18" s="110"/>
      <c r="R18" s="151"/>
      <c r="S18" s="151"/>
      <c r="T18" s="167" t="str">
        <f t="shared" si="8"/>
        <v/>
      </c>
      <c r="U18" s="168" t="str">
        <f t="shared" si="9"/>
        <v/>
      </c>
      <c r="V18" s="169" t="str">
        <f t="shared" si="10"/>
        <v/>
      </c>
      <c r="W18" s="350" t="str">
        <f t="shared" si="11"/>
        <v/>
      </c>
      <c r="X18" s="351" t="str">
        <f t="shared" si="12"/>
        <v/>
      </c>
      <c r="Y18" s="472" t="str">
        <f t="shared" si="13"/>
        <v/>
      </c>
      <c r="Z18" s="170" t="str">
        <f t="shared" si="14"/>
        <v/>
      </c>
      <c r="AA18" s="159"/>
      <c r="AB18" s="171">
        <f t="shared" si="16"/>
        <v>4</v>
      </c>
      <c r="AC18" s="166">
        <f t="shared" si="17"/>
        <v>5.333333333333333</v>
      </c>
      <c r="AD18" s="166">
        <f t="shared" si="18"/>
        <v>6.666666666666667</v>
      </c>
      <c r="AE18" s="166">
        <f t="shared" si="19"/>
        <v>8</v>
      </c>
      <c r="AF18" s="441">
        <f t="shared" si="20"/>
        <v>10.666666666666666</v>
      </c>
    </row>
    <row r="19" spans="1:32" ht="14" x14ac:dyDescent="0.2">
      <c r="A19" s="71"/>
      <c r="B19" s="99">
        <v>13</v>
      </c>
      <c r="C19" s="100"/>
      <c r="D19" s="101" t="str">
        <f t="shared" si="0"/>
        <v/>
      </c>
      <c r="E19" s="180" t="str">
        <f t="shared" si="22"/>
        <v/>
      </c>
      <c r="F19" s="325">
        <v>13</v>
      </c>
      <c r="G19" s="103"/>
      <c r="H19" s="100" t="str">
        <f t="shared" si="23"/>
        <v/>
      </c>
      <c r="I19" s="104" t="str">
        <f t="shared" si="15"/>
        <v/>
      </c>
      <c r="J19" s="102"/>
      <c r="K19" s="105" t="str">
        <f t="shared" si="24"/>
        <v/>
      </c>
      <c r="L19" s="103" t="str">
        <f t="shared" si="25"/>
        <v/>
      </c>
      <c r="M19" s="106" t="str">
        <f t="shared" si="26"/>
        <v/>
      </c>
      <c r="N19" s="107" t="str">
        <f t="shared" si="27"/>
        <v/>
      </c>
      <c r="O19" s="380">
        <f t="shared" si="21"/>
        <v>6</v>
      </c>
      <c r="P19" s="142"/>
      <c r="Q19" s="110"/>
      <c r="R19" s="151"/>
      <c r="S19" s="151"/>
      <c r="T19" s="167" t="str">
        <f t="shared" si="8"/>
        <v/>
      </c>
      <c r="U19" s="168" t="str">
        <f t="shared" si="9"/>
        <v/>
      </c>
      <c r="V19" s="169" t="str">
        <f t="shared" si="10"/>
        <v/>
      </c>
      <c r="W19" s="350" t="str">
        <f t="shared" si="11"/>
        <v/>
      </c>
      <c r="X19" s="351" t="str">
        <f t="shared" si="12"/>
        <v/>
      </c>
      <c r="Y19" s="472" t="str">
        <f t="shared" si="13"/>
        <v/>
      </c>
      <c r="Z19" s="170" t="str">
        <f t="shared" si="14"/>
        <v/>
      </c>
      <c r="AA19" s="159"/>
      <c r="AB19" s="171">
        <f t="shared" si="16"/>
        <v>3</v>
      </c>
      <c r="AC19" s="166">
        <f t="shared" si="17"/>
        <v>4</v>
      </c>
      <c r="AD19" s="166">
        <f t="shared" si="18"/>
        <v>5</v>
      </c>
      <c r="AE19" s="166">
        <f t="shared" si="19"/>
        <v>6</v>
      </c>
      <c r="AF19" s="441">
        <f t="shared" si="20"/>
        <v>8</v>
      </c>
    </row>
    <row r="20" spans="1:32" ht="14" x14ac:dyDescent="0.2">
      <c r="A20" s="71"/>
      <c r="B20" s="99">
        <v>14</v>
      </c>
      <c r="C20" s="100"/>
      <c r="D20" s="101" t="str">
        <f t="shared" si="0"/>
        <v/>
      </c>
      <c r="E20" s="180" t="str">
        <f t="shared" si="22"/>
        <v/>
      </c>
      <c r="F20" s="325">
        <v>14</v>
      </c>
      <c r="G20" s="103"/>
      <c r="H20" s="100" t="str">
        <f t="shared" si="23"/>
        <v/>
      </c>
      <c r="I20" s="104" t="str">
        <f t="shared" si="15"/>
        <v/>
      </c>
      <c r="J20" s="102"/>
      <c r="K20" s="105" t="str">
        <f t="shared" si="24"/>
        <v/>
      </c>
      <c r="L20" s="103" t="str">
        <f t="shared" si="25"/>
        <v/>
      </c>
      <c r="M20" s="106" t="str">
        <f t="shared" si="26"/>
        <v/>
      </c>
      <c r="N20" s="107" t="str">
        <f t="shared" si="27"/>
        <v/>
      </c>
      <c r="O20" s="380">
        <f t="shared" si="21"/>
        <v>4</v>
      </c>
      <c r="P20" s="178"/>
      <c r="Q20" s="110"/>
      <c r="R20" s="151"/>
      <c r="S20" s="151"/>
      <c r="T20" s="167" t="str">
        <f t="shared" si="8"/>
        <v/>
      </c>
      <c r="U20" s="168" t="str">
        <f t="shared" si="9"/>
        <v/>
      </c>
      <c r="V20" s="169" t="str">
        <f t="shared" si="10"/>
        <v/>
      </c>
      <c r="W20" s="350" t="str">
        <f t="shared" si="11"/>
        <v/>
      </c>
      <c r="X20" s="351" t="str">
        <f t="shared" si="12"/>
        <v/>
      </c>
      <c r="Y20" s="472" t="str">
        <f t="shared" si="13"/>
        <v/>
      </c>
      <c r="Z20" s="170" t="str">
        <f t="shared" si="14"/>
        <v/>
      </c>
      <c r="AA20" s="159"/>
      <c r="AB20" s="171">
        <f t="shared" si="16"/>
        <v>2</v>
      </c>
      <c r="AC20" s="166">
        <f t="shared" si="17"/>
        <v>2.6666666666666665</v>
      </c>
      <c r="AD20" s="166">
        <f t="shared" si="18"/>
        <v>3.3333333333333335</v>
      </c>
      <c r="AE20" s="166">
        <f t="shared" si="19"/>
        <v>4</v>
      </c>
      <c r="AF20" s="441">
        <f t="shared" si="20"/>
        <v>5.333333333333333</v>
      </c>
    </row>
    <row r="21" spans="1:32" ht="14" x14ac:dyDescent="0.2">
      <c r="A21" s="71"/>
      <c r="B21" s="111">
        <v>15</v>
      </c>
      <c r="C21" s="112"/>
      <c r="D21" s="113" t="str">
        <f t="shared" si="0"/>
        <v/>
      </c>
      <c r="E21" s="181" t="str">
        <f t="shared" si="22"/>
        <v/>
      </c>
      <c r="F21" s="326">
        <v>15</v>
      </c>
      <c r="G21" s="115"/>
      <c r="H21" s="116" t="str">
        <f t="shared" si="23"/>
        <v/>
      </c>
      <c r="I21" s="117" t="str">
        <f t="shared" si="15"/>
        <v/>
      </c>
      <c r="J21" s="118"/>
      <c r="K21" s="119" t="str">
        <f t="shared" si="24"/>
        <v/>
      </c>
      <c r="L21" s="120" t="str">
        <f t="shared" si="25"/>
        <v/>
      </c>
      <c r="M21" s="121" t="str">
        <f t="shared" si="26"/>
        <v/>
      </c>
      <c r="N21" s="122" t="str">
        <f t="shared" si="27"/>
        <v/>
      </c>
      <c r="O21" s="446">
        <f t="shared" si="21"/>
        <v>2</v>
      </c>
      <c r="P21" s="177"/>
      <c r="Q21" s="125"/>
      <c r="R21" s="151"/>
      <c r="S21" s="151"/>
      <c r="T21" s="167" t="str">
        <f t="shared" si="8"/>
        <v/>
      </c>
      <c r="U21" s="168" t="str">
        <f t="shared" si="9"/>
        <v/>
      </c>
      <c r="V21" s="169" t="str">
        <f t="shared" si="10"/>
        <v/>
      </c>
      <c r="W21" s="350" t="str">
        <f t="shared" si="11"/>
        <v/>
      </c>
      <c r="X21" s="351" t="str">
        <f t="shared" si="12"/>
        <v/>
      </c>
      <c r="Y21" s="472" t="str">
        <f t="shared" si="13"/>
        <v/>
      </c>
      <c r="Z21" s="170" t="str">
        <f t="shared" si="14"/>
        <v/>
      </c>
      <c r="AA21" s="159"/>
      <c r="AB21" s="171">
        <f t="shared" si="16"/>
        <v>1</v>
      </c>
      <c r="AC21" s="166">
        <f t="shared" si="17"/>
        <v>1.3333333333333333</v>
      </c>
      <c r="AD21" s="166">
        <f t="shared" si="18"/>
        <v>1.6666666666666667</v>
      </c>
      <c r="AE21" s="166">
        <f t="shared" si="19"/>
        <v>2</v>
      </c>
      <c r="AF21" s="441">
        <f t="shared" si="20"/>
        <v>2.6666666666666665</v>
      </c>
    </row>
    <row r="22" spans="1:32" ht="14" x14ac:dyDescent="0.2">
      <c r="A22" s="71"/>
      <c r="B22" s="140"/>
      <c r="C22" s="89"/>
      <c r="D22" s="145" t="str">
        <f t="shared" si="0"/>
        <v/>
      </c>
      <c r="E22" s="179" t="str">
        <f t="shared" si="22"/>
        <v/>
      </c>
      <c r="F22" s="327"/>
      <c r="G22" s="92"/>
      <c r="H22" s="89" t="str">
        <f t="shared" si="23"/>
        <v/>
      </c>
      <c r="I22" s="93" t="str">
        <f t="shared" si="15"/>
        <v/>
      </c>
      <c r="J22" s="91"/>
      <c r="K22" s="94" t="str">
        <f t="shared" si="24"/>
        <v/>
      </c>
      <c r="L22" s="92" t="str">
        <f t="shared" si="25"/>
        <v/>
      </c>
      <c r="M22" s="95" t="str">
        <f t="shared" si="26"/>
        <v/>
      </c>
      <c r="N22" s="96" t="str">
        <f t="shared" si="27"/>
        <v/>
      </c>
      <c r="O22" s="166" t="e">
        <f t="shared" si="21"/>
        <v>#VALUE!</v>
      </c>
      <c r="P22" s="183"/>
      <c r="Q22" s="141"/>
      <c r="R22" s="151"/>
      <c r="S22" s="151"/>
      <c r="T22" s="167" t="str">
        <f t="shared" si="8"/>
        <v/>
      </c>
      <c r="U22" s="168" t="str">
        <f t="shared" si="9"/>
        <v/>
      </c>
      <c r="V22" s="169" t="str">
        <f t="shared" si="10"/>
        <v/>
      </c>
      <c r="W22" s="350" t="str">
        <f t="shared" si="11"/>
        <v/>
      </c>
      <c r="X22" s="351" t="str">
        <f t="shared" si="12"/>
        <v/>
      </c>
      <c r="Y22" s="472" t="str">
        <f t="shared" si="13"/>
        <v/>
      </c>
      <c r="Z22" s="170" t="str">
        <f t="shared" si="14"/>
        <v/>
      </c>
      <c r="AA22" s="159"/>
      <c r="AB22" s="171" t="str">
        <f t="shared" si="16"/>
        <v/>
      </c>
      <c r="AC22" s="166" t="str">
        <f t="shared" si="17"/>
        <v/>
      </c>
      <c r="AD22" s="166" t="str">
        <f t="shared" si="18"/>
        <v/>
      </c>
      <c r="AE22" s="166" t="str">
        <f t="shared" si="19"/>
        <v/>
      </c>
      <c r="AF22" s="441" t="str">
        <f t="shared" si="20"/>
        <v/>
      </c>
    </row>
    <row r="23" spans="1:32" ht="14" x14ac:dyDescent="0.2">
      <c r="A23" s="71"/>
      <c r="B23" s="99"/>
      <c r="C23" s="100"/>
      <c r="D23" s="101" t="str">
        <f t="shared" si="0"/>
        <v/>
      </c>
      <c r="E23" s="180" t="str">
        <f t="shared" si="22"/>
        <v/>
      </c>
      <c r="F23" s="325"/>
      <c r="G23" s="103"/>
      <c r="H23" s="100" t="str">
        <f t="shared" si="23"/>
        <v/>
      </c>
      <c r="I23" s="104" t="str">
        <f t="shared" si="15"/>
        <v/>
      </c>
      <c r="J23" s="102"/>
      <c r="K23" s="105" t="str">
        <f t="shared" si="24"/>
        <v/>
      </c>
      <c r="L23" s="103" t="str">
        <f t="shared" si="25"/>
        <v/>
      </c>
      <c r="M23" s="106" t="str">
        <f t="shared" si="26"/>
        <v/>
      </c>
      <c r="N23" s="107" t="str">
        <f t="shared" si="27"/>
        <v/>
      </c>
      <c r="O23" s="166" t="e">
        <f t="shared" si="21"/>
        <v>#VALUE!</v>
      </c>
      <c r="P23" s="142"/>
      <c r="Q23" s="110"/>
      <c r="R23" s="151"/>
      <c r="S23" s="151"/>
      <c r="T23" s="167" t="str">
        <f t="shared" si="8"/>
        <v/>
      </c>
      <c r="U23" s="168" t="str">
        <f t="shared" si="9"/>
        <v/>
      </c>
      <c r="V23" s="169" t="str">
        <f t="shared" si="10"/>
        <v/>
      </c>
      <c r="W23" s="350" t="str">
        <f t="shared" si="11"/>
        <v/>
      </c>
      <c r="X23" s="351" t="str">
        <f t="shared" si="12"/>
        <v/>
      </c>
      <c r="Y23" s="472" t="str">
        <f t="shared" si="13"/>
        <v/>
      </c>
      <c r="Z23" s="170" t="str">
        <f t="shared" si="14"/>
        <v/>
      </c>
      <c r="AA23" s="159"/>
      <c r="AB23" s="171" t="str">
        <f t="shared" si="16"/>
        <v/>
      </c>
      <c r="AC23" s="166" t="str">
        <f t="shared" si="17"/>
        <v/>
      </c>
      <c r="AD23" s="166" t="str">
        <f t="shared" si="18"/>
        <v/>
      </c>
      <c r="AE23" s="166" t="str">
        <f t="shared" si="19"/>
        <v/>
      </c>
      <c r="AF23" s="441" t="str">
        <f t="shared" si="20"/>
        <v/>
      </c>
    </row>
    <row r="24" spans="1:32" ht="14" x14ac:dyDescent="0.2">
      <c r="A24" s="71"/>
      <c r="B24" s="140"/>
      <c r="C24" s="100"/>
      <c r="D24" s="101" t="str">
        <f t="shared" si="0"/>
        <v/>
      </c>
      <c r="E24" s="180" t="str">
        <f t="shared" si="22"/>
        <v/>
      </c>
      <c r="F24" s="102"/>
      <c r="G24" s="103"/>
      <c r="H24" s="100" t="str">
        <f t="shared" si="23"/>
        <v/>
      </c>
      <c r="I24" s="104" t="str">
        <f t="shared" si="15"/>
        <v/>
      </c>
      <c r="J24" s="102"/>
      <c r="K24" s="105" t="str">
        <f t="shared" si="24"/>
        <v/>
      </c>
      <c r="L24" s="103" t="str">
        <f t="shared" si="25"/>
        <v/>
      </c>
      <c r="M24" s="106" t="str">
        <f t="shared" si="26"/>
        <v/>
      </c>
      <c r="N24" s="107" t="str">
        <f t="shared" si="27"/>
        <v/>
      </c>
      <c r="O24" s="166" t="e">
        <f t="shared" si="21"/>
        <v>#VALUE!</v>
      </c>
      <c r="P24" s="143"/>
      <c r="Q24" s="110"/>
      <c r="R24" s="151"/>
      <c r="S24" s="151"/>
      <c r="T24" s="167" t="str">
        <f t="shared" si="8"/>
        <v/>
      </c>
      <c r="U24" s="168" t="str">
        <f t="shared" si="9"/>
        <v/>
      </c>
      <c r="V24" s="169" t="str">
        <f t="shared" si="10"/>
        <v/>
      </c>
      <c r="W24" s="350" t="str">
        <f t="shared" si="11"/>
        <v/>
      </c>
      <c r="X24" s="351" t="str">
        <f t="shared" si="12"/>
        <v/>
      </c>
      <c r="Y24" s="472" t="str">
        <f t="shared" si="13"/>
        <v/>
      </c>
      <c r="Z24" s="170" t="str">
        <f t="shared" si="14"/>
        <v/>
      </c>
      <c r="AA24" s="159"/>
      <c r="AB24" s="171" t="str">
        <f t="shared" si="16"/>
        <v/>
      </c>
      <c r="AC24" s="166" t="str">
        <f t="shared" si="17"/>
        <v/>
      </c>
      <c r="AD24" s="166" t="str">
        <f t="shared" si="18"/>
        <v/>
      </c>
      <c r="AE24" s="166" t="str">
        <f t="shared" si="19"/>
        <v/>
      </c>
      <c r="AF24" s="441" t="str">
        <f t="shared" si="20"/>
        <v/>
      </c>
    </row>
    <row r="25" spans="1:32" ht="14" x14ac:dyDescent="0.2">
      <c r="A25" s="71"/>
      <c r="B25" s="99"/>
      <c r="C25" s="100"/>
      <c r="D25" s="101" t="str">
        <f t="shared" si="0"/>
        <v/>
      </c>
      <c r="E25" s="180" t="str">
        <f t="shared" si="22"/>
        <v/>
      </c>
      <c r="F25" s="102"/>
      <c r="G25" s="103"/>
      <c r="H25" s="100" t="str">
        <f t="shared" si="23"/>
        <v/>
      </c>
      <c r="I25" s="104" t="str">
        <f t="shared" si="15"/>
        <v/>
      </c>
      <c r="J25" s="102"/>
      <c r="K25" s="105" t="str">
        <f t="shared" si="24"/>
        <v/>
      </c>
      <c r="L25" s="103" t="str">
        <f t="shared" si="25"/>
        <v/>
      </c>
      <c r="M25" s="106" t="str">
        <f t="shared" si="26"/>
        <v/>
      </c>
      <c r="N25" s="107" t="str">
        <f t="shared" si="27"/>
        <v/>
      </c>
      <c r="O25" s="166" t="e">
        <f t="shared" si="21"/>
        <v>#VALUE!</v>
      </c>
      <c r="P25" s="143"/>
      <c r="Q25" s="110"/>
      <c r="R25" s="151"/>
      <c r="S25" s="151"/>
      <c r="T25" s="167" t="str">
        <f t="shared" si="8"/>
        <v/>
      </c>
      <c r="U25" s="168" t="str">
        <f t="shared" si="9"/>
        <v/>
      </c>
      <c r="V25" s="169" t="str">
        <f t="shared" si="10"/>
        <v/>
      </c>
      <c r="W25" s="350" t="str">
        <f t="shared" si="11"/>
        <v/>
      </c>
      <c r="X25" s="351" t="str">
        <f t="shared" si="12"/>
        <v/>
      </c>
      <c r="Y25" s="472" t="str">
        <f t="shared" si="13"/>
        <v/>
      </c>
      <c r="Z25" s="170" t="str">
        <f t="shared" si="14"/>
        <v/>
      </c>
      <c r="AA25" s="159"/>
      <c r="AB25" s="171" t="str">
        <f t="shared" si="16"/>
        <v/>
      </c>
      <c r="AC25" s="166" t="str">
        <f t="shared" si="17"/>
        <v/>
      </c>
      <c r="AD25" s="166" t="str">
        <f t="shared" si="18"/>
        <v/>
      </c>
      <c r="AE25" s="166" t="str">
        <f t="shared" si="19"/>
        <v/>
      </c>
      <c r="AF25" s="441" t="str">
        <f t="shared" si="20"/>
        <v/>
      </c>
    </row>
    <row r="26" spans="1:32" ht="14" x14ac:dyDescent="0.2">
      <c r="A26" s="71"/>
      <c r="B26" s="111"/>
      <c r="C26" s="112"/>
      <c r="D26" s="113" t="str">
        <f t="shared" si="0"/>
        <v/>
      </c>
      <c r="E26" s="181" t="str">
        <f t="shared" si="22"/>
        <v/>
      </c>
      <c r="F26" s="114"/>
      <c r="G26" s="115"/>
      <c r="H26" s="116" t="str">
        <f t="shared" si="23"/>
        <v/>
      </c>
      <c r="I26" s="117" t="str">
        <f t="shared" si="15"/>
        <v/>
      </c>
      <c r="J26" s="118"/>
      <c r="K26" s="119" t="str">
        <f t="shared" si="24"/>
        <v/>
      </c>
      <c r="L26" s="120" t="str">
        <f t="shared" si="25"/>
        <v/>
      </c>
      <c r="M26" s="121" t="str">
        <f t="shared" si="26"/>
        <v/>
      </c>
      <c r="N26" s="122" t="str">
        <f t="shared" si="27"/>
        <v/>
      </c>
      <c r="O26" s="166" t="e">
        <f t="shared" si="21"/>
        <v>#VALUE!</v>
      </c>
      <c r="P26" s="144"/>
      <c r="Q26" s="125"/>
      <c r="R26" s="151"/>
      <c r="S26" s="151"/>
      <c r="T26" s="167" t="str">
        <f t="shared" si="8"/>
        <v/>
      </c>
      <c r="U26" s="168" t="str">
        <f t="shared" si="9"/>
        <v/>
      </c>
      <c r="V26" s="169" t="str">
        <f t="shared" si="10"/>
        <v/>
      </c>
      <c r="W26" s="350" t="str">
        <f t="shared" si="11"/>
        <v/>
      </c>
      <c r="X26" s="351" t="str">
        <f t="shared" si="12"/>
        <v/>
      </c>
      <c r="Y26" s="472" t="str">
        <f t="shared" si="13"/>
        <v/>
      </c>
      <c r="Z26" s="170" t="str">
        <f t="shared" si="14"/>
        <v/>
      </c>
      <c r="AA26" s="159"/>
      <c r="AB26" s="171" t="str">
        <f t="shared" si="16"/>
        <v/>
      </c>
      <c r="AC26" s="166" t="str">
        <f t="shared" si="17"/>
        <v/>
      </c>
      <c r="AD26" s="166" t="str">
        <f t="shared" si="18"/>
        <v/>
      </c>
      <c r="AE26" s="166" t="str">
        <f t="shared" si="19"/>
        <v/>
      </c>
      <c r="AF26" s="441" t="str">
        <f t="shared" si="20"/>
        <v/>
      </c>
    </row>
    <row r="27" spans="1:32" ht="14" x14ac:dyDescent="0.2">
      <c r="A27" s="71"/>
      <c r="B27" s="140"/>
      <c r="C27" s="132"/>
      <c r="D27" s="145" t="str">
        <f t="shared" si="0"/>
        <v/>
      </c>
      <c r="E27" s="134"/>
      <c r="F27" s="134"/>
      <c r="G27" s="136"/>
      <c r="H27" s="89" t="str">
        <f>IFERROR(IF(G27-$Q$2&lt;=0,"",(G27-$Q$2)*86400),"")</f>
        <v/>
      </c>
      <c r="I27" s="93" t="str">
        <f t="shared" si="15"/>
        <v/>
      </c>
      <c r="J27" s="91"/>
      <c r="K27" s="94" t="str">
        <f>IFERROR(H27*(1+0.01*J27)-I27*$N$3,"")</f>
        <v/>
      </c>
      <c r="L27" s="92" t="str">
        <f>IFERROR((K27-$K$7)/86400,"")</f>
        <v/>
      </c>
      <c r="M27" s="95" t="str">
        <f>IFERROR((K27-$K$7)/$N$3,"")</f>
        <v/>
      </c>
      <c r="N27" s="96" t="str">
        <f>IFERROR($N$3/(H27/3600),"")</f>
        <v/>
      </c>
      <c r="O27" s="166" t="e">
        <f t="shared" si="21"/>
        <v>#VALUE!</v>
      </c>
      <c r="P27" s="146"/>
      <c r="Q27" s="141"/>
      <c r="R27" s="151"/>
      <c r="S27" s="151"/>
      <c r="T27" s="167" t="str">
        <f t="shared" si="8"/>
        <v/>
      </c>
      <c r="U27" s="168" t="str">
        <f t="shared" si="9"/>
        <v/>
      </c>
      <c r="V27" s="169" t="str">
        <f t="shared" si="10"/>
        <v/>
      </c>
      <c r="W27" s="350" t="str">
        <f t="shared" si="11"/>
        <v/>
      </c>
      <c r="X27" s="351" t="str">
        <f t="shared" si="12"/>
        <v/>
      </c>
      <c r="Y27" s="472" t="str">
        <f t="shared" si="13"/>
        <v/>
      </c>
      <c r="Z27" s="170" t="str">
        <f t="shared" si="14"/>
        <v/>
      </c>
      <c r="AA27" s="159"/>
      <c r="AB27" s="171" t="str">
        <f t="shared" si="16"/>
        <v/>
      </c>
      <c r="AC27" s="166" t="str">
        <f t="shared" si="17"/>
        <v/>
      </c>
      <c r="AD27" s="166" t="str">
        <f t="shared" si="18"/>
        <v/>
      </c>
      <c r="AE27" s="437" t="str">
        <f t="shared" ref="AE27:AE31" si="28">IF(ISBLANK(C27),"",IFERROR(30*($P$3-$B27)/($P$3-1)+10,"30.0"))</f>
        <v/>
      </c>
      <c r="AF27" s="441" t="str">
        <f t="shared" si="20"/>
        <v/>
      </c>
    </row>
    <row r="28" spans="1:32" ht="14.25" customHeight="1" x14ac:dyDescent="0.2">
      <c r="A28" s="71"/>
      <c r="B28" s="99"/>
      <c r="C28" s="100"/>
      <c r="D28" s="101" t="str">
        <f t="shared" si="0"/>
        <v/>
      </c>
      <c r="E28" s="102"/>
      <c r="F28" s="102"/>
      <c r="G28" s="103"/>
      <c r="H28" s="100"/>
      <c r="I28" s="104" t="str">
        <f t="shared" si="15"/>
        <v/>
      </c>
      <c r="J28" s="102"/>
      <c r="K28" s="105"/>
      <c r="L28" s="103"/>
      <c r="M28" s="106"/>
      <c r="N28" s="107"/>
      <c r="O28" s="166" t="e">
        <f t="shared" si="21"/>
        <v>#VALUE!</v>
      </c>
      <c r="P28" s="147"/>
      <c r="Q28" s="110"/>
      <c r="R28" s="151"/>
      <c r="S28" s="151"/>
      <c r="T28" s="167" t="str">
        <f t="shared" si="8"/>
        <v/>
      </c>
      <c r="U28" s="168" t="str">
        <f t="shared" si="9"/>
        <v/>
      </c>
      <c r="V28" s="169" t="str">
        <f t="shared" si="10"/>
        <v/>
      </c>
      <c r="W28" s="350" t="str">
        <f t="shared" si="11"/>
        <v/>
      </c>
      <c r="X28" s="351" t="str">
        <f t="shared" si="12"/>
        <v/>
      </c>
      <c r="Y28" s="472" t="str">
        <f t="shared" si="13"/>
        <v/>
      </c>
      <c r="Z28" s="170" t="str">
        <f t="shared" si="14"/>
        <v/>
      </c>
      <c r="AA28" s="159"/>
      <c r="AB28" s="171" t="str">
        <f t="shared" si="16"/>
        <v/>
      </c>
      <c r="AC28" s="166" t="str">
        <f t="shared" si="17"/>
        <v/>
      </c>
      <c r="AD28" s="166" t="str">
        <f t="shared" si="18"/>
        <v/>
      </c>
      <c r="AE28" s="437" t="str">
        <f t="shared" si="28"/>
        <v/>
      </c>
      <c r="AF28" s="441" t="str">
        <f t="shared" si="20"/>
        <v/>
      </c>
    </row>
    <row r="29" spans="1:32" ht="14" x14ac:dyDescent="0.2">
      <c r="A29" s="71"/>
      <c r="B29" s="99"/>
      <c r="C29" s="100"/>
      <c r="D29" s="101" t="str">
        <f t="shared" si="0"/>
        <v/>
      </c>
      <c r="E29" s="102"/>
      <c r="F29" s="102"/>
      <c r="G29" s="103"/>
      <c r="H29" s="100"/>
      <c r="I29" s="104" t="str">
        <f t="shared" si="15"/>
        <v/>
      </c>
      <c r="J29" s="102"/>
      <c r="K29" s="105"/>
      <c r="L29" s="103"/>
      <c r="M29" s="106"/>
      <c r="N29" s="107"/>
      <c r="O29" s="166" t="e">
        <f t="shared" si="21"/>
        <v>#VALUE!</v>
      </c>
      <c r="P29" s="143"/>
      <c r="Q29" s="110"/>
      <c r="R29" s="151"/>
      <c r="S29" s="151"/>
      <c r="T29" s="167" t="str">
        <f t="shared" si="8"/>
        <v/>
      </c>
      <c r="U29" s="168" t="str">
        <f t="shared" si="9"/>
        <v/>
      </c>
      <c r="V29" s="169" t="str">
        <f t="shared" si="10"/>
        <v/>
      </c>
      <c r="W29" s="350" t="str">
        <f t="shared" si="11"/>
        <v/>
      </c>
      <c r="X29" s="351" t="str">
        <f t="shared" si="12"/>
        <v/>
      </c>
      <c r="Y29" s="472" t="str">
        <f t="shared" si="13"/>
        <v/>
      </c>
      <c r="Z29" s="170" t="str">
        <f t="shared" si="14"/>
        <v/>
      </c>
      <c r="AA29" s="159"/>
      <c r="AB29" s="171" t="str">
        <f t="shared" si="16"/>
        <v/>
      </c>
      <c r="AC29" s="166" t="str">
        <f t="shared" si="17"/>
        <v/>
      </c>
      <c r="AD29" s="166" t="str">
        <f t="shared" si="18"/>
        <v/>
      </c>
      <c r="AE29" s="437" t="str">
        <f t="shared" si="28"/>
        <v/>
      </c>
      <c r="AF29" s="441" t="str">
        <f t="shared" si="20"/>
        <v/>
      </c>
    </row>
    <row r="30" spans="1:32" ht="14.25" customHeight="1" x14ac:dyDescent="0.2">
      <c r="A30" s="71"/>
      <c r="B30" s="99"/>
      <c r="C30" s="100"/>
      <c r="D30" s="101" t="str">
        <f t="shared" si="0"/>
        <v/>
      </c>
      <c r="E30" s="102"/>
      <c r="F30" s="102"/>
      <c r="G30" s="103"/>
      <c r="H30" s="100"/>
      <c r="I30" s="104" t="str">
        <f t="shared" si="15"/>
        <v/>
      </c>
      <c r="J30" s="102"/>
      <c r="K30" s="105"/>
      <c r="L30" s="103"/>
      <c r="M30" s="106"/>
      <c r="N30" s="107"/>
      <c r="O30" s="166" t="e">
        <f t="shared" si="21"/>
        <v>#VALUE!</v>
      </c>
      <c r="P30" s="143"/>
      <c r="Q30" s="110"/>
      <c r="R30" s="151"/>
      <c r="S30" s="151"/>
      <c r="T30" s="167" t="str">
        <f t="shared" si="8"/>
        <v/>
      </c>
      <c r="U30" s="168" t="str">
        <f t="shared" si="9"/>
        <v/>
      </c>
      <c r="V30" s="169" t="str">
        <f t="shared" si="10"/>
        <v/>
      </c>
      <c r="W30" s="350" t="str">
        <f t="shared" si="11"/>
        <v/>
      </c>
      <c r="X30" s="351" t="str">
        <f t="shared" si="12"/>
        <v/>
      </c>
      <c r="Y30" s="472" t="str">
        <f t="shared" si="13"/>
        <v/>
      </c>
      <c r="Z30" s="170" t="str">
        <f t="shared" si="14"/>
        <v/>
      </c>
      <c r="AA30" s="159"/>
      <c r="AB30" s="171" t="str">
        <f t="shared" si="16"/>
        <v/>
      </c>
      <c r="AC30" s="166" t="str">
        <f t="shared" si="17"/>
        <v/>
      </c>
      <c r="AD30" s="166" t="str">
        <f t="shared" si="18"/>
        <v/>
      </c>
      <c r="AE30" s="437" t="str">
        <f t="shared" si="28"/>
        <v/>
      </c>
      <c r="AF30" s="441" t="str">
        <f t="shared" si="20"/>
        <v/>
      </c>
    </row>
    <row r="31" spans="1:32" ht="14.5" thickBot="1" x14ac:dyDescent="0.25">
      <c r="A31" s="71"/>
      <c r="B31" s="99"/>
      <c r="C31" s="100"/>
      <c r="D31" s="113" t="str">
        <f t="shared" si="0"/>
        <v/>
      </c>
      <c r="E31" s="114"/>
      <c r="F31" s="102"/>
      <c r="G31" s="103"/>
      <c r="H31" s="112" t="str">
        <f>IFERROR(IF(G31-$Q$2&lt;=0,"",(G31-$Q$2)*86400),"")</f>
        <v/>
      </c>
      <c r="I31" s="126" t="str">
        <f t="shared" si="15"/>
        <v/>
      </c>
      <c r="J31" s="114"/>
      <c r="K31" s="128" t="str">
        <f>IFERROR(H31*(1+0.01*J31)-I31*$N$3,"")</f>
        <v/>
      </c>
      <c r="L31" s="115" t="str">
        <f>IFERROR((K31-$K$7)/86400,"")</f>
        <v/>
      </c>
      <c r="M31" s="129" t="str">
        <f>IFERROR((K31-$K$7)/$N$3,"")</f>
        <v/>
      </c>
      <c r="N31" s="130" t="str">
        <f>IFERROR($N$3/(H31/3600),"")</f>
        <v/>
      </c>
      <c r="O31" s="166" t="e">
        <f t="shared" si="21"/>
        <v>#VALUE!</v>
      </c>
      <c r="P31" s="144"/>
      <c r="Q31" s="125"/>
      <c r="R31" s="151"/>
      <c r="S31" s="151"/>
      <c r="T31" s="172" t="str">
        <f t="shared" si="8"/>
        <v/>
      </c>
      <c r="U31" s="173" t="str">
        <f t="shared" si="9"/>
        <v/>
      </c>
      <c r="V31" s="174" t="str">
        <f t="shared" si="10"/>
        <v/>
      </c>
      <c r="W31" s="352" t="str">
        <f t="shared" si="11"/>
        <v/>
      </c>
      <c r="X31" s="353" t="str">
        <f t="shared" si="12"/>
        <v/>
      </c>
      <c r="Y31" s="473" t="str">
        <f t="shared" si="13"/>
        <v/>
      </c>
      <c r="Z31" s="354" t="str">
        <f t="shared" si="14"/>
        <v/>
      </c>
      <c r="AA31" s="159"/>
      <c r="AB31" s="442" t="str">
        <f t="shared" ref="AB31" si="29">IF(ISBLANK(B31),"",IFERROR(15*($P$3+1-$B31)/$P$3,"15.0"))</f>
        <v/>
      </c>
      <c r="AC31" s="443" t="str">
        <f t="shared" ref="AC31" si="30">IF(ISBLANK(B31),"",IFERROR(20*($P$3+1-$B31)/$P$3,"20.0"))</f>
        <v/>
      </c>
      <c r="AD31" s="443" t="str">
        <f t="shared" ref="AD31" si="31">IF(ISBLANK(B31),"",IFERROR(25*($P$3+1-$B31)/$P$3,"25.0"))</f>
        <v/>
      </c>
      <c r="AE31" s="438" t="str">
        <f t="shared" si="28"/>
        <v/>
      </c>
      <c r="AF31" s="444" t="str">
        <f t="shared" si="20"/>
        <v/>
      </c>
    </row>
    <row r="32" spans="1:32" ht="15" customHeight="1" x14ac:dyDescent="0.25">
      <c r="A32" s="71"/>
      <c r="B32" s="584" t="s">
        <v>190</v>
      </c>
      <c r="C32" s="585"/>
      <c r="D32" s="586"/>
      <c r="E32" s="148" t="s">
        <v>151</v>
      </c>
      <c r="F32" s="593" t="s">
        <v>225</v>
      </c>
      <c r="G32" s="594"/>
      <c r="H32" s="595" t="s">
        <v>246</v>
      </c>
      <c r="I32" s="596"/>
      <c r="J32" s="596"/>
      <c r="K32" s="596"/>
      <c r="L32" s="596"/>
      <c r="M32" s="596"/>
      <c r="N32" s="596"/>
      <c r="O32" s="596"/>
      <c r="P32" s="596"/>
      <c r="Q32" s="597"/>
      <c r="R32" s="297"/>
      <c r="S32" s="62"/>
      <c r="T32" s="154"/>
      <c r="U32" s="154"/>
      <c r="V32" s="154"/>
      <c r="Y32" s="154"/>
      <c r="Z32" s="154"/>
      <c r="AA32" s="154"/>
    </row>
    <row r="33" spans="1:32" ht="15" customHeight="1" x14ac:dyDescent="0.25">
      <c r="A33" s="71"/>
      <c r="B33" s="587"/>
      <c r="C33" s="588"/>
      <c r="D33" s="589"/>
      <c r="E33" s="149" t="s">
        <v>152</v>
      </c>
      <c r="F33" s="576" t="s">
        <v>226</v>
      </c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297"/>
      <c r="S33" s="62"/>
      <c r="T33" s="154"/>
      <c r="U33" s="154"/>
      <c r="V33" s="154"/>
      <c r="Y33" s="154"/>
      <c r="Z33" s="154"/>
      <c r="AA33" s="154"/>
      <c r="AB33" s="515" t="s">
        <v>294</v>
      </c>
      <c r="AC33" s="515"/>
      <c r="AD33" s="515"/>
      <c r="AE33" s="515"/>
      <c r="AF33" s="515"/>
    </row>
    <row r="34" spans="1:32" ht="23.25" customHeight="1" x14ac:dyDescent="0.25">
      <c r="A34" s="71"/>
      <c r="B34" s="590"/>
      <c r="C34" s="591"/>
      <c r="D34" s="592"/>
      <c r="E34" s="149" t="s">
        <v>153</v>
      </c>
      <c r="F34" s="576" t="s">
        <v>227</v>
      </c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297"/>
      <c r="S34" s="62"/>
      <c r="T34" s="154"/>
      <c r="U34" s="154"/>
      <c r="V34" s="154"/>
      <c r="Y34" s="154"/>
      <c r="Z34" s="154"/>
      <c r="AA34" s="154"/>
    </row>
    <row r="35" spans="1:32" ht="22.5" customHeight="1" x14ac:dyDescent="0.25">
      <c r="A35" s="71"/>
      <c r="B35" s="604" t="s">
        <v>191</v>
      </c>
      <c r="C35" s="605"/>
      <c r="D35" s="606"/>
      <c r="E35" s="578" t="s">
        <v>155</v>
      </c>
      <c r="F35" s="576" t="str">
        <f>参照ﾃﾞｰﾀ!AB12</f>
        <v>飛車角</v>
      </c>
      <c r="G35" s="577"/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297"/>
      <c r="S35" s="62"/>
      <c r="T35" s="154"/>
      <c r="U35" s="154"/>
      <c r="V35" s="154"/>
      <c r="Y35" s="154"/>
      <c r="Z35" s="154"/>
      <c r="AA35" s="154"/>
    </row>
    <row r="36" spans="1:32" ht="15" customHeight="1" x14ac:dyDescent="0.25">
      <c r="A36" s="71"/>
      <c r="B36" s="607"/>
      <c r="C36" s="608"/>
      <c r="D36" s="609"/>
      <c r="E36" s="615"/>
      <c r="F36" s="576"/>
      <c r="G36" s="577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297"/>
      <c r="S36" s="62"/>
      <c r="T36" s="154"/>
      <c r="U36" s="154"/>
      <c r="V36" s="154"/>
      <c r="Y36" s="154"/>
      <c r="Z36" s="154"/>
      <c r="AA36" s="154"/>
    </row>
    <row r="37" spans="1:32" ht="15" customHeight="1" x14ac:dyDescent="0.25">
      <c r="A37" s="71"/>
      <c r="B37" s="607"/>
      <c r="C37" s="608"/>
      <c r="D37" s="609"/>
      <c r="E37" s="148" t="s">
        <v>154</v>
      </c>
      <c r="F37" s="574">
        <f>参照ﾃﾞｰﾀ!Z14</f>
        <v>46313</v>
      </c>
      <c r="G37" s="5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297"/>
      <c r="S37" s="62"/>
      <c r="T37" s="154"/>
      <c r="U37" s="154"/>
      <c r="V37" s="154"/>
      <c r="Y37" s="154"/>
      <c r="Z37" s="154"/>
      <c r="AA37" s="154"/>
    </row>
    <row r="38" spans="1:32" ht="15" customHeight="1" x14ac:dyDescent="0.25">
      <c r="A38" s="71"/>
      <c r="B38" s="607"/>
      <c r="C38" s="608"/>
      <c r="D38" s="609"/>
      <c r="E38" s="149" t="s">
        <v>167</v>
      </c>
      <c r="F38" s="576" t="str">
        <f>参照ﾃﾞｰﾀ!AA14</f>
        <v>E</v>
      </c>
      <c r="G38" s="5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297"/>
      <c r="S38" s="62"/>
      <c r="T38" s="154"/>
      <c r="U38" s="154"/>
      <c r="V38" s="154"/>
      <c r="Y38" s="154"/>
      <c r="Z38" s="154"/>
      <c r="AA38" s="154"/>
    </row>
    <row r="39" spans="1:32" ht="15" customHeight="1" x14ac:dyDescent="0.25">
      <c r="A39" s="71"/>
      <c r="B39" s="607"/>
      <c r="C39" s="608"/>
      <c r="D39" s="609"/>
      <c r="E39" s="578" t="s">
        <v>155</v>
      </c>
      <c r="F39" s="576" t="str">
        <f>参照ﾃﾞｰﾀ!AB14</f>
        <v>テティス</v>
      </c>
      <c r="G39" s="5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297"/>
      <c r="S39" s="62"/>
      <c r="T39" s="154"/>
      <c r="U39" s="154"/>
      <c r="V39" s="154"/>
      <c r="Y39" s="154"/>
      <c r="Z39" s="154"/>
      <c r="AA39" s="154"/>
    </row>
    <row r="40" spans="1:32" ht="15" customHeight="1" x14ac:dyDescent="0.25">
      <c r="A40" s="71"/>
      <c r="B40" s="607"/>
      <c r="C40" s="608"/>
      <c r="D40" s="609"/>
      <c r="E40" s="578"/>
      <c r="F40" s="576" t="s">
        <v>293</v>
      </c>
      <c r="G40" s="577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297"/>
      <c r="S40" s="62"/>
      <c r="T40" s="154"/>
      <c r="U40" s="154"/>
      <c r="V40" s="154"/>
      <c r="Y40" s="154"/>
      <c r="Z40" s="154"/>
      <c r="AA40" s="154"/>
    </row>
    <row r="41" spans="1:32" ht="11.25" customHeight="1" thickBot="1" x14ac:dyDescent="0.3">
      <c r="A41" s="71"/>
      <c r="B41" s="610"/>
      <c r="C41" s="611"/>
      <c r="D41" s="612"/>
      <c r="E41" s="150"/>
      <c r="F41" s="613"/>
      <c r="G41" s="614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297"/>
      <c r="S41" s="62"/>
      <c r="T41" s="154"/>
      <c r="U41" s="154"/>
      <c r="V41" s="154"/>
      <c r="W41" s="154"/>
      <c r="X41" s="154"/>
      <c r="Y41" s="154"/>
      <c r="Z41" s="154"/>
      <c r="AA41" s="154"/>
    </row>
    <row r="42" spans="1:32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</sheetData>
  <sheetProtection algorithmName="SHA-512" hashValue="swwP93zcmwug8P3/M2elFrTX7jp7763pP4qBwW4uPhaqEofMw6wi2D8uN0dvK2zhOfxjbXaYQB6TRIkZAMqZ4w==" saltValue="w4soV/FT3RglOhoxkUNkcw==" spinCount="100000" sheet="1" objects="1" scenarios="1"/>
  <sortState xmlns:xlrd2="http://schemas.microsoft.com/office/spreadsheetml/2017/richdata2" ref="C7:K14">
    <sortCondition ref="K7:K14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9">
    <dataValidation type="list" allowBlank="1" showInputMessage="1" showErrorMessage="1" sqref="D3" xr:uid="{00000000-0002-0000-0200-000000000000}">
      <formula1>レース番号</formula1>
    </dataValidation>
    <dataValidation type="list" allowBlank="1" showInputMessage="1" showErrorMessage="1" sqref="I6" xr:uid="{00000000-0002-0000-0200-000001000000}">
      <formula1>ＴＡ</formula1>
    </dataValidation>
    <dataValidation type="list" showInputMessage="1" showErrorMessage="1" sqref="E3" xr:uid="{00000000-0002-0000-0200-000002000000}">
      <formula1>レース名</formula1>
    </dataValidation>
    <dataValidation type="list" allowBlank="1" showInputMessage="1" showErrorMessage="1" sqref="N2" xr:uid="{00000000-0002-0000-0200-000003000000}">
      <formula1>コース</formula1>
    </dataValidation>
    <dataValidation type="list" allowBlank="1" showInputMessage="1" showErrorMessage="1" sqref="G2" xr:uid="{00000000-0002-0000-0200-000004000000}">
      <formula1>月</formula1>
    </dataValidation>
    <dataValidation type="list" allowBlank="1" showInputMessage="1" showErrorMessage="1" sqref="J3:K3" xr:uid="{00000000-0002-0000-0200-000005000000}">
      <formula1>暫定</formula1>
    </dataValidation>
    <dataValidation type="list" allowBlank="1" showInputMessage="1" showErrorMessage="1" sqref="Q2:R2" xr:uid="{00000000-0002-0000-0200-000006000000}">
      <formula1>時刻</formula1>
    </dataValidation>
    <dataValidation type="list" allowBlank="1" showInputMessage="1" showErrorMessage="1" sqref="P2 F37:G37" xr:uid="{00000000-0002-0000-0200-000007000000}">
      <formula1>開催日</formula1>
    </dataValidation>
    <dataValidation type="list" allowBlank="1" showInputMessage="1" showErrorMessage="1" sqref="O6" xr:uid="{C60FB7A2-AA10-4DD5-B5D0-C0CCC5B3934A}">
      <formula1>$AB$6:$AF$6</formula1>
    </dataValidation>
  </dataValidations>
  <pageMargins left="0.31496062992125984" right="0" top="0.35433070866141736" bottom="0.19685039370078741" header="0" footer="0"/>
  <pageSetup paperSize="9" scale="99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8000000}">
          <x14:formula1>
            <xm:f>参照ﾃﾞｰﾀ!$B$4:$B$17</xm:f>
          </x14:formula1>
          <xm:sqref>F38:G38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2"/>
  <sheetViews>
    <sheetView zoomScale="85" zoomScaleNormal="85" workbookViewId="0">
      <selection activeCell="P2" sqref="P2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.453125" style="153" hidden="1" customWidth="1"/>
    <col min="6" max="6" width="5" style="153" customWidth="1"/>
    <col min="7" max="7" width="10.90625" style="153" customWidth="1"/>
    <col min="8" max="8" width="8.363281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90625" style="153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1.6328125" style="153" customWidth="1"/>
    <col min="18" max="19" width="2.453125" style="153" customWidth="1"/>
    <col min="20" max="22" width="7.6328125" style="153" hidden="1" customWidth="1"/>
    <col min="23" max="23" width="8.26953125" style="153" customWidth="1"/>
    <col min="24" max="26" width="7.6328125" style="153" customWidth="1"/>
    <col min="27" max="27" width="4.453125" style="153" customWidth="1"/>
    <col min="28" max="30" width="8" style="153" customWidth="1"/>
    <col min="31" max="16384" width="9" style="153"/>
  </cols>
  <sheetData>
    <row r="1" spans="1:32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32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164</v>
      </c>
      <c r="H2" s="65"/>
      <c r="I2" s="66"/>
      <c r="J2" s="62"/>
      <c r="K2" s="67"/>
      <c r="L2" s="62"/>
      <c r="M2" s="68" t="s">
        <v>33</v>
      </c>
      <c r="N2" s="69" t="s">
        <v>281</v>
      </c>
      <c r="O2" s="70" t="s">
        <v>35</v>
      </c>
      <c r="P2" s="194">
        <f>参照ﾃﾞｰﾀ!J14</f>
        <v>46313</v>
      </c>
      <c r="Q2" s="573">
        <v>0.4375</v>
      </c>
      <c r="R2" s="62"/>
      <c r="S2" s="62"/>
      <c r="T2" s="155" t="s">
        <v>2</v>
      </c>
      <c r="U2" s="154"/>
      <c r="V2" s="154"/>
      <c r="W2" s="155" t="str">
        <f>参照ＴＡ!AC3</f>
        <v>2026年</v>
      </c>
      <c r="X2" s="155" t="str">
        <f>参照ＴＡ!AE3</f>
        <v>10月</v>
      </c>
      <c r="Y2" s="154"/>
      <c r="Z2" s="154"/>
      <c r="AA2" s="154"/>
    </row>
    <row r="3" spans="1:32" ht="21.75" customHeight="1" thickBot="1" x14ac:dyDescent="0.35">
      <c r="A3" s="71"/>
      <c r="B3" s="62"/>
      <c r="C3" s="71"/>
      <c r="D3" s="72" t="s">
        <v>276</v>
      </c>
      <c r="E3" s="616" t="s">
        <v>45</v>
      </c>
      <c r="F3" s="616"/>
      <c r="G3" s="616"/>
      <c r="H3" s="616"/>
      <c r="I3" s="616"/>
      <c r="J3" s="581" t="s">
        <v>36</v>
      </c>
      <c r="K3" s="581"/>
      <c r="L3" s="62"/>
      <c r="M3" s="73" t="s">
        <v>56</v>
      </c>
      <c r="N3" s="520">
        <f>IF(ISBLANK(N2),"",VLOOKUP(N2,コース・距離,2,FALSE))</f>
        <v>11.3</v>
      </c>
      <c r="O3" s="75" t="s">
        <v>0</v>
      </c>
      <c r="P3" s="517">
        <v>15</v>
      </c>
      <c r="Q3" s="77" t="s">
        <v>1</v>
      </c>
      <c r="R3" s="62"/>
      <c r="S3" s="62"/>
      <c r="T3" s="154" t="s">
        <v>182</v>
      </c>
      <c r="U3" s="154"/>
      <c r="V3" s="154"/>
      <c r="W3" s="155" t="s">
        <v>2</v>
      </c>
      <c r="X3" s="154"/>
      <c r="Y3" s="154"/>
      <c r="Z3" s="154"/>
      <c r="AA3" s="154"/>
      <c r="AB3" s="156" t="s">
        <v>57</v>
      </c>
    </row>
    <row r="4" spans="1:32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154"/>
      <c r="U4" s="154"/>
      <c r="V4" s="154"/>
      <c r="W4" s="157"/>
      <c r="X4" s="154"/>
      <c r="Y4" s="154"/>
      <c r="Z4" s="154"/>
      <c r="AA4" s="154"/>
    </row>
    <row r="5" spans="1:32" ht="14" x14ac:dyDescent="0.2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151"/>
      <c r="S5" s="151"/>
      <c r="T5" s="160" t="s">
        <v>10</v>
      </c>
      <c r="U5" s="158" t="s">
        <v>10</v>
      </c>
      <c r="V5" s="356" t="s">
        <v>10</v>
      </c>
      <c r="W5" s="160" t="s">
        <v>10</v>
      </c>
      <c r="X5" s="158" t="s">
        <v>10</v>
      </c>
      <c r="Y5" s="356" t="s">
        <v>10</v>
      </c>
      <c r="Z5" s="161" t="s">
        <v>10</v>
      </c>
      <c r="AA5" s="159"/>
      <c r="AB5" s="160" t="s">
        <v>13</v>
      </c>
      <c r="AC5" s="158" t="s">
        <v>13</v>
      </c>
      <c r="AD5" s="356" t="s">
        <v>13</v>
      </c>
      <c r="AE5" s="158" t="s">
        <v>13</v>
      </c>
      <c r="AF5" s="431" t="s">
        <v>13</v>
      </c>
    </row>
    <row r="6" spans="1:32" ht="14" x14ac:dyDescent="0.2">
      <c r="A6" s="71"/>
      <c r="B6" s="81"/>
      <c r="C6" s="82" t="s">
        <v>14</v>
      </c>
      <c r="D6" s="83"/>
      <c r="E6" s="84" t="s">
        <v>15</v>
      </c>
      <c r="F6" s="84"/>
      <c r="G6" s="82" t="s">
        <v>16</v>
      </c>
      <c r="H6" s="84" t="s">
        <v>17</v>
      </c>
      <c r="I6" s="516" t="s">
        <v>265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430" t="str">
        <f>参照ﾃﾞｰﾀ!K14</f>
        <v>MAX=20</v>
      </c>
      <c r="P6" s="86"/>
      <c r="Q6" s="87"/>
      <c r="R6" s="152"/>
      <c r="S6" s="152"/>
      <c r="T6" s="164" t="s">
        <v>20</v>
      </c>
      <c r="U6" s="162" t="s">
        <v>22</v>
      </c>
      <c r="V6" s="357" t="s">
        <v>21</v>
      </c>
      <c r="W6" s="164" t="s">
        <v>20</v>
      </c>
      <c r="X6" s="162" t="s">
        <v>22</v>
      </c>
      <c r="Y6" s="471" t="s">
        <v>21</v>
      </c>
      <c r="Z6" s="474" t="s">
        <v>250</v>
      </c>
      <c r="AA6" s="163"/>
      <c r="AB6" s="439" t="s">
        <v>206</v>
      </c>
      <c r="AC6" s="430" t="s">
        <v>59</v>
      </c>
      <c r="AD6" s="440" t="s">
        <v>205</v>
      </c>
      <c r="AE6" s="430" t="s">
        <v>251</v>
      </c>
      <c r="AF6" s="436" t="s">
        <v>252</v>
      </c>
    </row>
    <row r="7" spans="1:32" ht="14" x14ac:dyDescent="0.2">
      <c r="A7" s="71"/>
      <c r="B7" s="88">
        <v>1</v>
      </c>
      <c r="C7" s="89"/>
      <c r="D7" s="90" t="str">
        <f t="shared" ref="D7:D31" si="0">IF(ISBLANK(C7),"",VLOOKUP(C7,第4月ＴＡ,2,FALSE))</f>
        <v/>
      </c>
      <c r="E7" s="179" t="str">
        <f t="shared" ref="E7:E22" si="1">IF($I$6="Ⅰ",T7,IF($I$6="Ⅱ",U7,IF($I$6="Ⅲ",V7,"")))</f>
        <v/>
      </c>
      <c r="F7" s="91">
        <v>1</v>
      </c>
      <c r="G7" s="92"/>
      <c r="H7" s="89" t="str">
        <f t="shared" ref="H7:H22" si="2">IFERROR(IF(G7-$Q$2&lt;=0,"",(G7-$Q$2)*86400),"")</f>
        <v/>
      </c>
      <c r="I7" s="93" t="str">
        <f>IF($I$6="Ⅰ",W7,IF($I$6="Ⅱ",X7,IF($I$6="Ⅲ",Y7,IF($I$6="IV",Z7,""))))</f>
        <v/>
      </c>
      <c r="J7" s="91"/>
      <c r="K7" s="94" t="str">
        <f t="shared" ref="K7:K22" si="3">IFERROR(H7*(1+0.01*J7)-I7*$N$3,"")</f>
        <v/>
      </c>
      <c r="L7" s="92" t="str">
        <f t="shared" ref="L7:L17" si="4">IFERROR((K7-$K$7)/86400,"")</f>
        <v/>
      </c>
      <c r="M7" s="95" t="str">
        <f t="shared" ref="M7:M17" si="5">IFERROR((K7-$K$7)/$N$3,"")</f>
        <v/>
      </c>
      <c r="N7" s="96" t="str">
        <f t="shared" ref="N7:N17" si="6">IFERROR($N$3/(H7/3600),"")</f>
        <v/>
      </c>
      <c r="O7" s="445">
        <f t="shared" ref="O7:O8" si="7">ROUND(IF($O$6="MAX=15",AB7,IF($O$6="MAX=20",AC7,IF($O$6="MAX=25",AD7,IF($O$6="MAX=30",AE7,IF($O$6="MAX=40",AF7))))),1)</f>
        <v>20</v>
      </c>
      <c r="P7" s="184"/>
      <c r="Q7" s="98"/>
      <c r="R7" s="151"/>
      <c r="S7" s="151"/>
      <c r="T7" s="167" t="str">
        <f t="shared" ref="T7:T31" si="8">IF(ISBLANK(C7),"",VLOOKUP(C7,各艇データ,3,FALSE))</f>
        <v/>
      </c>
      <c r="U7" s="168" t="str">
        <f t="shared" ref="U7:U31" si="9">IF(ISBLANK(C7),"",VLOOKUP(C7,各艇データ,4,FALSE))</f>
        <v/>
      </c>
      <c r="V7" s="358" t="str">
        <f t="shared" ref="V7:V31" si="10">IF(ISBLANK(C7),"",VLOOKUP(C7,各艇データ,5,FALSE))</f>
        <v/>
      </c>
      <c r="W7" s="350" t="str">
        <f t="shared" ref="W7:W31" si="11">IF(ISBLANK(C7),"",VLOOKUP(C7,第4月ＴＡ,3,FALSE))</f>
        <v/>
      </c>
      <c r="X7" s="351" t="str">
        <f t="shared" ref="X7:X31" si="12">IF(ISBLANK(C7),"",VLOOKUP(C7,第4月ＴＡ,4,FALSE))</f>
        <v/>
      </c>
      <c r="Y7" s="472" t="str">
        <f t="shared" ref="Y7:Y31" si="13">IF(ISBLANK(C7),"",VLOOKUP(C7,第4月ＴＡ,5,FALSE))</f>
        <v/>
      </c>
      <c r="Z7" s="170" t="str">
        <f t="shared" ref="Z7:Z31" si="14">IF(ISBLANK(C7),"",VLOOKUP(C7,第1月ＴＡ,6,FALSE))</f>
        <v/>
      </c>
      <c r="AA7" s="159"/>
      <c r="AB7" s="171">
        <f>IF(ISBLANK(B7),"",IFERROR(15*($P$3+1-$B7)/$P$3,"15.0"))</f>
        <v>15</v>
      </c>
      <c r="AC7" s="166">
        <f>IF(ISBLANK(B7),"",IFERROR(20*($P$3+1-$B7)/$P$3,"20.0"))</f>
        <v>20</v>
      </c>
      <c r="AD7" s="166">
        <f>IF(ISBLANK(B7),"",IFERROR(25*($P$3+1-$B7)/$P$3,"25.0"))</f>
        <v>25</v>
      </c>
      <c r="AE7" s="166">
        <f>IF(ISBLANK($B7),"",IFERROR(30*($P$3+1-$B7)/$P$3,"30.0"))</f>
        <v>30</v>
      </c>
      <c r="AF7" s="441">
        <f>IF(ISBLANK($B7),"",IFERROR(40*($P$3+1-$B7)/$P$3,"40.0"))</f>
        <v>40</v>
      </c>
    </row>
    <row r="8" spans="1:32" ht="14" x14ac:dyDescent="0.2">
      <c r="A8" s="71"/>
      <c r="B8" s="99">
        <v>2</v>
      </c>
      <c r="C8" s="100"/>
      <c r="D8" s="101" t="str">
        <f t="shared" si="0"/>
        <v/>
      </c>
      <c r="E8" s="180" t="str">
        <f t="shared" si="1"/>
        <v/>
      </c>
      <c r="F8" s="102">
        <v>2</v>
      </c>
      <c r="G8" s="103"/>
      <c r="H8" s="100" t="str">
        <f t="shared" si="2"/>
        <v/>
      </c>
      <c r="I8" s="104" t="str">
        <f t="shared" ref="I8:I31" si="15">IF($I$6="Ⅰ",W8,IF($I$6="Ⅱ",X8,IF($I$6="Ⅲ",Y8,IF($I$6="IV",Z8,""))))</f>
        <v/>
      </c>
      <c r="J8" s="102"/>
      <c r="K8" s="105" t="str">
        <f t="shared" si="3"/>
        <v/>
      </c>
      <c r="L8" s="103" t="str">
        <f t="shared" si="4"/>
        <v/>
      </c>
      <c r="M8" s="106" t="str">
        <f t="shared" si="5"/>
        <v/>
      </c>
      <c r="N8" s="107" t="str">
        <f t="shared" si="6"/>
        <v/>
      </c>
      <c r="O8" s="380">
        <f t="shared" si="7"/>
        <v>18.7</v>
      </c>
      <c r="P8" s="109"/>
      <c r="Q8" s="110"/>
      <c r="R8" s="151"/>
      <c r="S8" s="151"/>
      <c r="T8" s="167" t="str">
        <f t="shared" si="8"/>
        <v/>
      </c>
      <c r="U8" s="168" t="str">
        <f t="shared" si="9"/>
        <v/>
      </c>
      <c r="V8" s="358" t="str">
        <f t="shared" si="10"/>
        <v/>
      </c>
      <c r="W8" s="350" t="str">
        <f t="shared" si="11"/>
        <v/>
      </c>
      <c r="X8" s="351" t="str">
        <f t="shared" si="12"/>
        <v/>
      </c>
      <c r="Y8" s="472" t="str">
        <f t="shared" si="13"/>
        <v/>
      </c>
      <c r="Z8" s="170" t="str">
        <f t="shared" si="14"/>
        <v/>
      </c>
      <c r="AA8" s="159"/>
      <c r="AB8" s="171">
        <f t="shared" ref="AB8:AB31" si="16">IF(ISBLANK(B8),"",IFERROR(15*($P$3+1-$B8)/$P$3,"15.0"))</f>
        <v>14</v>
      </c>
      <c r="AC8" s="166">
        <f>IF(ISBLANK(B8),"",IFERROR(20*($P$3+1-$B8)/$P$3,"20.0"))</f>
        <v>18.666666666666668</v>
      </c>
      <c r="AD8" s="166">
        <f t="shared" ref="AD8:AD31" si="17">IF(ISBLANK(B8),"",IFERROR(25*($P$3+1-$B8)/$P$3,"25.0"))</f>
        <v>23.333333333333332</v>
      </c>
      <c r="AE8" s="166">
        <f t="shared" ref="AE8:AE26" si="18">IF(ISBLANK($B8),"",IFERROR(30*($P$3+1-$B8)/$P$3,"30.0"))</f>
        <v>28</v>
      </c>
      <c r="AF8" s="441">
        <f t="shared" ref="AF8:AF31" si="19">IF(ISBLANK($B8),"",IFERROR(40*($P$3+1-$B8)/$P$3,"40.0"))</f>
        <v>37.333333333333336</v>
      </c>
    </row>
    <row r="9" spans="1:32" ht="14" x14ac:dyDescent="0.2">
      <c r="A9" s="71"/>
      <c r="B9" s="99">
        <v>3</v>
      </c>
      <c r="C9" s="100"/>
      <c r="D9" s="101" t="str">
        <f t="shared" si="0"/>
        <v/>
      </c>
      <c r="E9" s="180" t="str">
        <f t="shared" si="1"/>
        <v/>
      </c>
      <c r="F9" s="102">
        <v>3</v>
      </c>
      <c r="G9" s="103"/>
      <c r="H9" s="100" t="str">
        <f t="shared" si="2"/>
        <v/>
      </c>
      <c r="I9" s="104" t="str">
        <f t="shared" si="15"/>
        <v/>
      </c>
      <c r="J9" s="102"/>
      <c r="K9" s="105" t="str">
        <f t="shared" si="3"/>
        <v/>
      </c>
      <c r="L9" s="103" t="str">
        <f t="shared" si="4"/>
        <v/>
      </c>
      <c r="M9" s="106" t="str">
        <f t="shared" si="5"/>
        <v/>
      </c>
      <c r="N9" s="107" t="str">
        <f t="shared" si="6"/>
        <v/>
      </c>
      <c r="O9" s="380">
        <f>ROUND(IF($O$6="MAX=15",AB9,IF($O$6="MAX=20",AC9,IF($O$6="MAX=25",AD9,IF($O$6="MAX=30",AE9,IF($O$6="MAX=40",AF9))))),1)</f>
        <v>17.3</v>
      </c>
      <c r="P9" s="109"/>
      <c r="Q9" s="110"/>
      <c r="R9" s="151"/>
      <c r="S9" s="151"/>
      <c r="T9" s="167" t="str">
        <f t="shared" si="8"/>
        <v/>
      </c>
      <c r="U9" s="168" t="str">
        <f t="shared" si="9"/>
        <v/>
      </c>
      <c r="V9" s="358" t="str">
        <f t="shared" si="10"/>
        <v/>
      </c>
      <c r="W9" s="350" t="str">
        <f t="shared" si="11"/>
        <v/>
      </c>
      <c r="X9" s="351" t="str">
        <f t="shared" si="12"/>
        <v/>
      </c>
      <c r="Y9" s="472" t="str">
        <f t="shared" si="13"/>
        <v/>
      </c>
      <c r="Z9" s="170" t="str">
        <f t="shared" si="14"/>
        <v/>
      </c>
      <c r="AA9" s="159"/>
      <c r="AB9" s="171">
        <f t="shared" si="16"/>
        <v>13</v>
      </c>
      <c r="AC9" s="166">
        <f t="shared" ref="AC9:AC31" si="20">IF(ISBLANK(B9),"",IFERROR(20*($P$3+1-$B9)/$P$3,"20.0"))</f>
        <v>17.333333333333332</v>
      </c>
      <c r="AD9" s="166">
        <f t="shared" si="17"/>
        <v>21.666666666666668</v>
      </c>
      <c r="AE9" s="166">
        <f t="shared" si="18"/>
        <v>26</v>
      </c>
      <c r="AF9" s="441">
        <f t="shared" si="19"/>
        <v>34.666666666666664</v>
      </c>
    </row>
    <row r="10" spans="1:32" ht="14" x14ac:dyDescent="0.2">
      <c r="A10" s="71"/>
      <c r="B10" s="99">
        <v>4</v>
      </c>
      <c r="C10" s="100"/>
      <c r="D10" s="101" t="str">
        <f t="shared" si="0"/>
        <v/>
      </c>
      <c r="E10" s="180" t="str">
        <f t="shared" si="1"/>
        <v/>
      </c>
      <c r="F10" s="102">
        <v>4</v>
      </c>
      <c r="G10" s="103"/>
      <c r="H10" s="100" t="str">
        <f t="shared" si="2"/>
        <v/>
      </c>
      <c r="I10" s="104" t="str">
        <f t="shared" si="15"/>
        <v/>
      </c>
      <c r="J10" s="102"/>
      <c r="K10" s="105" t="str">
        <f t="shared" si="3"/>
        <v/>
      </c>
      <c r="L10" s="103" t="str">
        <f t="shared" si="4"/>
        <v/>
      </c>
      <c r="M10" s="106" t="str">
        <f t="shared" si="5"/>
        <v/>
      </c>
      <c r="N10" s="107" t="str">
        <f t="shared" si="6"/>
        <v/>
      </c>
      <c r="O10" s="380">
        <f t="shared" ref="O10:O31" si="21">ROUND(IF($O$6="MAX=15",AB10,IF($O$6="MAX=20",AC10,IF($O$6="MAX=25",AD10,IF($O$6="MAX=30",AE10,IF($O$6="MAX=40",AF10))))),1)</f>
        <v>16</v>
      </c>
      <c r="P10" s="175"/>
      <c r="Q10" s="110"/>
      <c r="R10" s="151"/>
      <c r="S10" s="151"/>
      <c r="T10" s="167" t="str">
        <f t="shared" si="8"/>
        <v/>
      </c>
      <c r="U10" s="168" t="str">
        <f t="shared" si="9"/>
        <v/>
      </c>
      <c r="V10" s="358" t="str">
        <f t="shared" si="10"/>
        <v/>
      </c>
      <c r="W10" s="350" t="str">
        <f t="shared" si="11"/>
        <v/>
      </c>
      <c r="X10" s="351" t="str">
        <f t="shared" si="12"/>
        <v/>
      </c>
      <c r="Y10" s="472" t="str">
        <f t="shared" si="13"/>
        <v/>
      </c>
      <c r="Z10" s="170" t="str">
        <f t="shared" si="14"/>
        <v/>
      </c>
      <c r="AA10" s="159"/>
      <c r="AB10" s="171">
        <f t="shared" si="16"/>
        <v>12</v>
      </c>
      <c r="AC10" s="166">
        <f t="shared" si="20"/>
        <v>16</v>
      </c>
      <c r="AD10" s="166">
        <f t="shared" si="17"/>
        <v>20</v>
      </c>
      <c r="AE10" s="166">
        <f t="shared" si="18"/>
        <v>24</v>
      </c>
      <c r="AF10" s="441">
        <f t="shared" si="19"/>
        <v>32</v>
      </c>
    </row>
    <row r="11" spans="1:32" ht="14" x14ac:dyDescent="0.2">
      <c r="A11" s="71"/>
      <c r="B11" s="111">
        <v>5</v>
      </c>
      <c r="C11" s="112"/>
      <c r="D11" s="113" t="str">
        <f t="shared" si="0"/>
        <v/>
      </c>
      <c r="E11" s="181" t="str">
        <f t="shared" si="1"/>
        <v/>
      </c>
      <c r="F11" s="114">
        <v>5</v>
      </c>
      <c r="G11" s="115"/>
      <c r="H11" s="116" t="str">
        <f t="shared" si="2"/>
        <v/>
      </c>
      <c r="I11" s="117" t="str">
        <f t="shared" si="15"/>
        <v/>
      </c>
      <c r="J11" s="118"/>
      <c r="K11" s="119" t="str">
        <f t="shared" si="3"/>
        <v/>
      </c>
      <c r="L11" s="120" t="str">
        <f t="shared" si="4"/>
        <v/>
      </c>
      <c r="M11" s="121" t="str">
        <f t="shared" si="5"/>
        <v/>
      </c>
      <c r="N11" s="122" t="str">
        <f t="shared" si="6"/>
        <v/>
      </c>
      <c r="O11" s="446">
        <f t="shared" si="21"/>
        <v>14.7</v>
      </c>
      <c r="P11" s="124"/>
      <c r="Q11" s="125"/>
      <c r="R11" s="151"/>
      <c r="S11" s="151"/>
      <c r="T11" s="167" t="str">
        <f t="shared" si="8"/>
        <v/>
      </c>
      <c r="U11" s="168" t="str">
        <f t="shared" si="9"/>
        <v/>
      </c>
      <c r="V11" s="358" t="str">
        <f t="shared" si="10"/>
        <v/>
      </c>
      <c r="W11" s="350" t="str">
        <f t="shared" si="11"/>
        <v/>
      </c>
      <c r="X11" s="351" t="str">
        <f t="shared" si="12"/>
        <v/>
      </c>
      <c r="Y11" s="472" t="str">
        <f t="shared" si="13"/>
        <v/>
      </c>
      <c r="Z11" s="170" t="str">
        <f t="shared" si="14"/>
        <v/>
      </c>
      <c r="AA11" s="159"/>
      <c r="AB11" s="171">
        <f t="shared" si="16"/>
        <v>11</v>
      </c>
      <c r="AC11" s="166">
        <f t="shared" si="20"/>
        <v>14.666666666666666</v>
      </c>
      <c r="AD11" s="166">
        <f t="shared" si="17"/>
        <v>18.333333333333332</v>
      </c>
      <c r="AE11" s="166">
        <f t="shared" si="18"/>
        <v>22</v>
      </c>
      <c r="AF11" s="441">
        <f t="shared" si="19"/>
        <v>29.333333333333332</v>
      </c>
    </row>
    <row r="12" spans="1:32" ht="14" x14ac:dyDescent="0.2">
      <c r="A12" s="71"/>
      <c r="B12" s="88">
        <v>6</v>
      </c>
      <c r="C12" s="89"/>
      <c r="D12" s="145" t="str">
        <f t="shared" si="0"/>
        <v/>
      </c>
      <c r="E12" s="179" t="str">
        <f t="shared" si="1"/>
        <v/>
      </c>
      <c r="F12" s="91">
        <v>6</v>
      </c>
      <c r="G12" s="92"/>
      <c r="H12" s="89" t="str">
        <f t="shared" si="2"/>
        <v/>
      </c>
      <c r="I12" s="93" t="str">
        <f t="shared" si="15"/>
        <v/>
      </c>
      <c r="J12" s="91"/>
      <c r="K12" s="94" t="str">
        <f t="shared" si="3"/>
        <v/>
      </c>
      <c r="L12" s="92" t="str">
        <f t="shared" si="4"/>
        <v/>
      </c>
      <c r="M12" s="95" t="str">
        <f t="shared" si="5"/>
        <v/>
      </c>
      <c r="N12" s="96" t="str">
        <f t="shared" si="6"/>
        <v/>
      </c>
      <c r="O12" s="445">
        <f t="shared" si="21"/>
        <v>13.3</v>
      </c>
      <c r="P12" s="71"/>
      <c r="Q12" s="98"/>
      <c r="R12" s="151"/>
      <c r="S12" s="151"/>
      <c r="T12" s="167" t="str">
        <f t="shared" si="8"/>
        <v/>
      </c>
      <c r="U12" s="168" t="str">
        <f t="shared" si="9"/>
        <v/>
      </c>
      <c r="V12" s="358" t="str">
        <f t="shared" si="10"/>
        <v/>
      </c>
      <c r="W12" s="350" t="str">
        <f t="shared" si="11"/>
        <v/>
      </c>
      <c r="X12" s="351" t="str">
        <f t="shared" si="12"/>
        <v/>
      </c>
      <c r="Y12" s="472" t="str">
        <f t="shared" si="13"/>
        <v/>
      </c>
      <c r="Z12" s="170" t="str">
        <f t="shared" si="14"/>
        <v/>
      </c>
      <c r="AA12" s="159"/>
      <c r="AB12" s="171">
        <f t="shared" si="16"/>
        <v>10</v>
      </c>
      <c r="AC12" s="166">
        <f t="shared" si="20"/>
        <v>13.333333333333334</v>
      </c>
      <c r="AD12" s="166">
        <f t="shared" si="17"/>
        <v>16.666666666666668</v>
      </c>
      <c r="AE12" s="166">
        <f t="shared" si="18"/>
        <v>20</v>
      </c>
      <c r="AF12" s="441">
        <f t="shared" si="19"/>
        <v>26.666666666666668</v>
      </c>
    </row>
    <row r="13" spans="1:32" ht="14" x14ac:dyDescent="0.2">
      <c r="A13" s="71"/>
      <c r="B13" s="99">
        <v>7</v>
      </c>
      <c r="C13" s="100"/>
      <c r="D13" s="101" t="str">
        <f t="shared" si="0"/>
        <v/>
      </c>
      <c r="E13" s="180" t="str">
        <f t="shared" si="1"/>
        <v/>
      </c>
      <c r="F13" s="102">
        <v>7</v>
      </c>
      <c r="G13" s="103"/>
      <c r="H13" s="100" t="str">
        <f t="shared" si="2"/>
        <v/>
      </c>
      <c r="I13" s="104" t="str">
        <f t="shared" si="15"/>
        <v/>
      </c>
      <c r="J13" s="102"/>
      <c r="K13" s="105" t="str">
        <f t="shared" si="3"/>
        <v/>
      </c>
      <c r="L13" s="103" t="str">
        <f t="shared" si="4"/>
        <v/>
      </c>
      <c r="M13" s="106" t="str">
        <f t="shared" si="5"/>
        <v/>
      </c>
      <c r="N13" s="107" t="str">
        <f t="shared" si="6"/>
        <v/>
      </c>
      <c r="O13" s="380">
        <f t="shared" si="21"/>
        <v>12</v>
      </c>
      <c r="P13" s="142"/>
      <c r="Q13" s="110"/>
      <c r="R13" s="151"/>
      <c r="S13" s="151"/>
      <c r="T13" s="167" t="str">
        <f t="shared" si="8"/>
        <v/>
      </c>
      <c r="U13" s="168" t="str">
        <f t="shared" si="9"/>
        <v/>
      </c>
      <c r="V13" s="358" t="str">
        <f t="shared" si="10"/>
        <v/>
      </c>
      <c r="W13" s="350" t="str">
        <f t="shared" si="11"/>
        <v/>
      </c>
      <c r="X13" s="351" t="str">
        <f t="shared" si="12"/>
        <v/>
      </c>
      <c r="Y13" s="472" t="str">
        <f t="shared" si="13"/>
        <v/>
      </c>
      <c r="Z13" s="170" t="str">
        <f t="shared" si="14"/>
        <v/>
      </c>
      <c r="AA13" s="159"/>
      <c r="AB13" s="171">
        <f t="shared" si="16"/>
        <v>9</v>
      </c>
      <c r="AC13" s="166">
        <f t="shared" si="20"/>
        <v>12</v>
      </c>
      <c r="AD13" s="166">
        <f t="shared" si="17"/>
        <v>15</v>
      </c>
      <c r="AE13" s="166">
        <f t="shared" si="18"/>
        <v>18</v>
      </c>
      <c r="AF13" s="441">
        <f t="shared" si="19"/>
        <v>24</v>
      </c>
    </row>
    <row r="14" spans="1:32" ht="14" x14ac:dyDescent="0.2">
      <c r="A14" s="71"/>
      <c r="B14" s="99">
        <v>8</v>
      </c>
      <c r="C14" s="100"/>
      <c r="D14" s="101" t="str">
        <f t="shared" si="0"/>
        <v/>
      </c>
      <c r="E14" s="180" t="str">
        <f t="shared" si="1"/>
        <v/>
      </c>
      <c r="F14" s="102">
        <v>8</v>
      </c>
      <c r="G14" s="103"/>
      <c r="H14" s="100" t="str">
        <f t="shared" si="2"/>
        <v/>
      </c>
      <c r="I14" s="104" t="str">
        <f t="shared" si="15"/>
        <v/>
      </c>
      <c r="J14" s="102"/>
      <c r="K14" s="105" t="str">
        <f t="shared" si="3"/>
        <v/>
      </c>
      <c r="L14" s="103" t="str">
        <f t="shared" si="4"/>
        <v/>
      </c>
      <c r="M14" s="106" t="str">
        <f t="shared" si="5"/>
        <v/>
      </c>
      <c r="N14" s="107" t="str">
        <f t="shared" si="6"/>
        <v/>
      </c>
      <c r="O14" s="380">
        <f t="shared" si="21"/>
        <v>10.7</v>
      </c>
      <c r="P14" s="109"/>
      <c r="Q14" s="110"/>
      <c r="R14" s="151"/>
      <c r="S14" s="151"/>
      <c r="T14" s="167" t="str">
        <f t="shared" si="8"/>
        <v/>
      </c>
      <c r="U14" s="168" t="str">
        <f t="shared" si="9"/>
        <v/>
      </c>
      <c r="V14" s="358" t="str">
        <f t="shared" si="10"/>
        <v/>
      </c>
      <c r="W14" s="350" t="str">
        <f t="shared" si="11"/>
        <v/>
      </c>
      <c r="X14" s="351" t="str">
        <f t="shared" si="12"/>
        <v/>
      </c>
      <c r="Y14" s="472" t="str">
        <f t="shared" si="13"/>
        <v/>
      </c>
      <c r="Z14" s="170" t="str">
        <f t="shared" si="14"/>
        <v/>
      </c>
      <c r="AA14" s="159"/>
      <c r="AB14" s="171">
        <f t="shared" si="16"/>
        <v>8</v>
      </c>
      <c r="AC14" s="166">
        <f t="shared" si="20"/>
        <v>10.666666666666666</v>
      </c>
      <c r="AD14" s="166">
        <f t="shared" si="17"/>
        <v>13.333333333333334</v>
      </c>
      <c r="AE14" s="166">
        <f t="shared" si="18"/>
        <v>16</v>
      </c>
      <c r="AF14" s="441">
        <f t="shared" si="19"/>
        <v>21.333333333333332</v>
      </c>
    </row>
    <row r="15" spans="1:32" ht="14" x14ac:dyDescent="0.2">
      <c r="A15" s="71"/>
      <c r="B15" s="99">
        <v>9</v>
      </c>
      <c r="C15" s="100"/>
      <c r="D15" s="101" t="str">
        <f t="shared" si="0"/>
        <v/>
      </c>
      <c r="E15" s="180" t="str">
        <f t="shared" si="1"/>
        <v/>
      </c>
      <c r="F15" s="102">
        <v>9</v>
      </c>
      <c r="G15" s="103"/>
      <c r="H15" s="100" t="str">
        <f t="shared" si="2"/>
        <v/>
      </c>
      <c r="I15" s="104" t="str">
        <f t="shared" si="15"/>
        <v/>
      </c>
      <c r="J15" s="102"/>
      <c r="K15" s="105" t="str">
        <f t="shared" si="3"/>
        <v/>
      </c>
      <c r="L15" s="103" t="str">
        <f t="shared" si="4"/>
        <v/>
      </c>
      <c r="M15" s="106" t="str">
        <f t="shared" si="5"/>
        <v/>
      </c>
      <c r="N15" s="107" t="str">
        <f t="shared" si="6"/>
        <v/>
      </c>
      <c r="O15" s="380">
        <f t="shared" si="21"/>
        <v>9.3000000000000007</v>
      </c>
      <c r="P15" s="142"/>
      <c r="Q15" s="110"/>
      <c r="R15" s="151"/>
      <c r="S15" s="151"/>
      <c r="T15" s="167" t="str">
        <f t="shared" ref="T15:T17" si="22">IF(ISBLANK(C15),"",VLOOKUP(C15,各艇データ,3,FALSE))</f>
        <v/>
      </c>
      <c r="U15" s="168" t="str">
        <f t="shared" ref="U15:U17" si="23">IF(ISBLANK(C15),"",VLOOKUP(C15,各艇データ,4,FALSE))</f>
        <v/>
      </c>
      <c r="V15" s="358" t="str">
        <f t="shared" ref="V15:V17" si="24">IF(ISBLANK(C15),"",VLOOKUP(C15,各艇データ,5,FALSE))</f>
        <v/>
      </c>
      <c r="W15" s="350" t="str">
        <f t="shared" si="11"/>
        <v/>
      </c>
      <c r="X15" s="351" t="str">
        <f t="shared" si="12"/>
        <v/>
      </c>
      <c r="Y15" s="472" t="str">
        <f t="shared" si="13"/>
        <v/>
      </c>
      <c r="Z15" s="170" t="str">
        <f t="shared" si="14"/>
        <v/>
      </c>
      <c r="AA15" s="159"/>
      <c r="AB15" s="171">
        <f t="shared" si="16"/>
        <v>7</v>
      </c>
      <c r="AC15" s="166">
        <f t="shared" si="20"/>
        <v>9.3333333333333339</v>
      </c>
      <c r="AD15" s="166">
        <f t="shared" si="17"/>
        <v>11.666666666666666</v>
      </c>
      <c r="AE15" s="166">
        <f t="shared" si="18"/>
        <v>14</v>
      </c>
      <c r="AF15" s="441">
        <f t="shared" si="19"/>
        <v>18.666666666666668</v>
      </c>
    </row>
    <row r="16" spans="1:32" ht="14" x14ac:dyDescent="0.2">
      <c r="A16" s="71"/>
      <c r="B16" s="111">
        <v>10</v>
      </c>
      <c r="C16" s="112"/>
      <c r="D16" s="113" t="str">
        <f t="shared" si="0"/>
        <v/>
      </c>
      <c r="E16" s="181" t="str">
        <f t="shared" si="1"/>
        <v/>
      </c>
      <c r="F16" s="114">
        <v>10</v>
      </c>
      <c r="G16" s="115"/>
      <c r="H16" s="112" t="str">
        <f t="shared" si="2"/>
        <v/>
      </c>
      <c r="I16" s="126" t="str">
        <f t="shared" si="15"/>
        <v/>
      </c>
      <c r="J16" s="114"/>
      <c r="K16" s="128" t="str">
        <f t="shared" si="3"/>
        <v/>
      </c>
      <c r="L16" s="115" t="str">
        <f t="shared" si="4"/>
        <v/>
      </c>
      <c r="M16" s="129" t="str">
        <f t="shared" si="5"/>
        <v/>
      </c>
      <c r="N16" s="130" t="str">
        <f t="shared" si="6"/>
        <v/>
      </c>
      <c r="O16" s="446">
        <f t="shared" si="21"/>
        <v>8</v>
      </c>
      <c r="P16" s="447"/>
      <c r="Q16" s="125"/>
      <c r="R16" s="151"/>
      <c r="S16" s="151"/>
      <c r="T16" s="167" t="str">
        <f t="shared" si="22"/>
        <v/>
      </c>
      <c r="U16" s="168" t="str">
        <f t="shared" si="23"/>
        <v/>
      </c>
      <c r="V16" s="358" t="str">
        <f t="shared" si="24"/>
        <v/>
      </c>
      <c r="W16" s="350" t="str">
        <f t="shared" si="11"/>
        <v/>
      </c>
      <c r="X16" s="351" t="str">
        <f t="shared" si="12"/>
        <v/>
      </c>
      <c r="Y16" s="472" t="str">
        <f t="shared" si="13"/>
        <v/>
      </c>
      <c r="Z16" s="170" t="str">
        <f t="shared" si="14"/>
        <v/>
      </c>
      <c r="AA16" s="159"/>
      <c r="AB16" s="171">
        <f t="shared" si="16"/>
        <v>6</v>
      </c>
      <c r="AC16" s="166">
        <f t="shared" si="20"/>
        <v>8</v>
      </c>
      <c r="AD16" s="166">
        <f t="shared" si="17"/>
        <v>10</v>
      </c>
      <c r="AE16" s="166">
        <f t="shared" si="18"/>
        <v>12</v>
      </c>
      <c r="AF16" s="441">
        <f t="shared" si="19"/>
        <v>16</v>
      </c>
    </row>
    <row r="17" spans="1:32" ht="14" x14ac:dyDescent="0.2">
      <c r="A17" s="71"/>
      <c r="B17" s="88">
        <v>11</v>
      </c>
      <c r="C17" s="89"/>
      <c r="D17" s="145" t="str">
        <f t="shared" si="0"/>
        <v/>
      </c>
      <c r="E17" s="320" t="str">
        <f t="shared" si="1"/>
        <v/>
      </c>
      <c r="F17" s="324">
        <v>11</v>
      </c>
      <c r="G17" s="92"/>
      <c r="H17" s="132" t="str">
        <f t="shared" si="2"/>
        <v/>
      </c>
      <c r="I17" s="133" t="str">
        <f t="shared" si="15"/>
        <v/>
      </c>
      <c r="J17" s="134"/>
      <c r="K17" s="135" t="str">
        <f t="shared" si="3"/>
        <v/>
      </c>
      <c r="L17" s="136" t="str">
        <f t="shared" si="4"/>
        <v/>
      </c>
      <c r="M17" s="137" t="str">
        <f t="shared" si="5"/>
        <v/>
      </c>
      <c r="N17" s="138" t="str">
        <f t="shared" si="6"/>
        <v/>
      </c>
      <c r="O17" s="445">
        <f t="shared" si="21"/>
        <v>6.7</v>
      </c>
      <c r="P17" s="178"/>
      <c r="Q17" s="98"/>
      <c r="R17" s="151"/>
      <c r="S17" s="151"/>
      <c r="T17" s="167" t="str">
        <f t="shared" si="22"/>
        <v/>
      </c>
      <c r="U17" s="168" t="str">
        <f t="shared" si="23"/>
        <v/>
      </c>
      <c r="V17" s="358" t="str">
        <f t="shared" si="24"/>
        <v/>
      </c>
      <c r="W17" s="350" t="str">
        <f t="shared" si="11"/>
        <v/>
      </c>
      <c r="X17" s="351" t="str">
        <f t="shared" si="12"/>
        <v/>
      </c>
      <c r="Y17" s="472" t="str">
        <f t="shared" si="13"/>
        <v/>
      </c>
      <c r="Z17" s="170" t="str">
        <f t="shared" si="14"/>
        <v/>
      </c>
      <c r="AA17" s="159"/>
      <c r="AB17" s="171">
        <f t="shared" si="16"/>
        <v>5</v>
      </c>
      <c r="AC17" s="166">
        <f t="shared" si="20"/>
        <v>6.666666666666667</v>
      </c>
      <c r="AD17" s="166">
        <f t="shared" si="17"/>
        <v>8.3333333333333339</v>
      </c>
      <c r="AE17" s="166">
        <f t="shared" si="18"/>
        <v>10</v>
      </c>
      <c r="AF17" s="441">
        <f t="shared" si="19"/>
        <v>13.333333333333334</v>
      </c>
    </row>
    <row r="18" spans="1:32" ht="14" x14ac:dyDescent="0.2">
      <c r="A18" s="71"/>
      <c r="B18" s="99">
        <v>12</v>
      </c>
      <c r="C18" s="100"/>
      <c r="D18" s="101" t="str">
        <f t="shared" si="0"/>
        <v/>
      </c>
      <c r="E18" s="321" t="str">
        <f t="shared" si="1"/>
        <v/>
      </c>
      <c r="F18" s="325">
        <v>12</v>
      </c>
      <c r="G18" s="103"/>
      <c r="H18" s="100" t="str">
        <f t="shared" si="2"/>
        <v/>
      </c>
      <c r="I18" s="104" t="str">
        <f t="shared" si="15"/>
        <v/>
      </c>
      <c r="J18" s="102"/>
      <c r="K18" s="105" t="str">
        <f t="shared" si="3"/>
        <v/>
      </c>
      <c r="L18" s="103" t="str">
        <f t="shared" ref="L18:L22" si="25">IFERROR((K18-$K$7)/86400,"")</f>
        <v/>
      </c>
      <c r="M18" s="106" t="str">
        <f t="shared" ref="M18:M22" si="26">IFERROR((K18-$K$7)/$N$3,"")</f>
        <v/>
      </c>
      <c r="N18" s="107" t="str">
        <f t="shared" ref="N18:N22" si="27">IFERROR($N$3/(H18/3600),"")</f>
        <v/>
      </c>
      <c r="O18" s="380">
        <f t="shared" si="21"/>
        <v>5.3</v>
      </c>
      <c r="P18" s="142"/>
      <c r="Q18" s="110"/>
      <c r="R18" s="151"/>
      <c r="S18" s="151"/>
      <c r="T18" s="167" t="str">
        <f t="shared" si="8"/>
        <v/>
      </c>
      <c r="U18" s="168" t="str">
        <f t="shared" si="9"/>
        <v/>
      </c>
      <c r="V18" s="358" t="str">
        <f t="shared" si="10"/>
        <v/>
      </c>
      <c r="W18" s="350" t="str">
        <f t="shared" si="11"/>
        <v/>
      </c>
      <c r="X18" s="351" t="str">
        <f t="shared" si="12"/>
        <v/>
      </c>
      <c r="Y18" s="472" t="str">
        <f t="shared" si="13"/>
        <v/>
      </c>
      <c r="Z18" s="170" t="str">
        <f t="shared" si="14"/>
        <v/>
      </c>
      <c r="AA18" s="159"/>
      <c r="AB18" s="171">
        <f t="shared" si="16"/>
        <v>4</v>
      </c>
      <c r="AC18" s="166">
        <f t="shared" si="20"/>
        <v>5.333333333333333</v>
      </c>
      <c r="AD18" s="166">
        <f t="shared" si="17"/>
        <v>6.666666666666667</v>
      </c>
      <c r="AE18" s="166">
        <f t="shared" si="18"/>
        <v>8</v>
      </c>
      <c r="AF18" s="441">
        <f t="shared" si="19"/>
        <v>10.666666666666666</v>
      </c>
    </row>
    <row r="19" spans="1:32" ht="14" x14ac:dyDescent="0.2">
      <c r="A19" s="71"/>
      <c r="B19" s="99">
        <v>13</v>
      </c>
      <c r="C19" s="100"/>
      <c r="D19" s="101" t="str">
        <f t="shared" si="0"/>
        <v/>
      </c>
      <c r="E19" s="321" t="str">
        <f t="shared" si="1"/>
        <v/>
      </c>
      <c r="F19" s="325">
        <v>13</v>
      </c>
      <c r="G19" s="103"/>
      <c r="H19" s="100" t="str">
        <f t="shared" si="2"/>
        <v/>
      </c>
      <c r="I19" s="104" t="str">
        <f t="shared" si="15"/>
        <v/>
      </c>
      <c r="J19" s="102"/>
      <c r="K19" s="105" t="str">
        <f t="shared" si="3"/>
        <v/>
      </c>
      <c r="L19" s="103" t="str">
        <f t="shared" si="25"/>
        <v/>
      </c>
      <c r="M19" s="106" t="str">
        <f t="shared" si="26"/>
        <v/>
      </c>
      <c r="N19" s="107" t="str">
        <f t="shared" si="27"/>
        <v/>
      </c>
      <c r="O19" s="380">
        <f t="shared" si="21"/>
        <v>4</v>
      </c>
      <c r="P19" s="142"/>
      <c r="Q19" s="110"/>
      <c r="R19" s="151"/>
      <c r="S19" s="151"/>
      <c r="T19" s="167" t="str">
        <f t="shared" si="8"/>
        <v/>
      </c>
      <c r="U19" s="168" t="str">
        <f t="shared" si="9"/>
        <v/>
      </c>
      <c r="V19" s="358" t="str">
        <f t="shared" si="10"/>
        <v/>
      </c>
      <c r="W19" s="350" t="str">
        <f t="shared" si="11"/>
        <v/>
      </c>
      <c r="X19" s="351" t="str">
        <f t="shared" si="12"/>
        <v/>
      </c>
      <c r="Y19" s="472" t="str">
        <f t="shared" si="13"/>
        <v/>
      </c>
      <c r="Z19" s="170" t="str">
        <f t="shared" si="14"/>
        <v/>
      </c>
      <c r="AA19" s="159"/>
      <c r="AB19" s="171">
        <f t="shared" si="16"/>
        <v>3</v>
      </c>
      <c r="AC19" s="166">
        <f t="shared" si="20"/>
        <v>4</v>
      </c>
      <c r="AD19" s="166">
        <f t="shared" si="17"/>
        <v>5</v>
      </c>
      <c r="AE19" s="166">
        <f t="shared" si="18"/>
        <v>6</v>
      </c>
      <c r="AF19" s="441">
        <f t="shared" si="19"/>
        <v>8</v>
      </c>
    </row>
    <row r="20" spans="1:32" ht="14" x14ac:dyDescent="0.2">
      <c r="A20" s="71"/>
      <c r="B20" s="99">
        <v>14</v>
      </c>
      <c r="C20" s="100"/>
      <c r="D20" s="101" t="str">
        <f t="shared" si="0"/>
        <v/>
      </c>
      <c r="E20" s="321" t="str">
        <f t="shared" si="1"/>
        <v/>
      </c>
      <c r="F20" s="325">
        <v>14</v>
      </c>
      <c r="G20" s="103"/>
      <c r="H20" s="100" t="str">
        <f t="shared" si="2"/>
        <v/>
      </c>
      <c r="I20" s="104" t="str">
        <f t="shared" si="15"/>
        <v/>
      </c>
      <c r="J20" s="176"/>
      <c r="K20" s="105" t="str">
        <f t="shared" si="3"/>
        <v/>
      </c>
      <c r="L20" s="103" t="str">
        <f t="shared" si="25"/>
        <v/>
      </c>
      <c r="M20" s="106" t="str">
        <f t="shared" si="26"/>
        <v/>
      </c>
      <c r="N20" s="107" t="str">
        <f t="shared" si="27"/>
        <v/>
      </c>
      <c r="O20" s="380">
        <f t="shared" si="21"/>
        <v>2.7</v>
      </c>
      <c r="P20" s="178"/>
      <c r="Q20" s="110"/>
      <c r="R20" s="151"/>
      <c r="S20" s="151"/>
      <c r="T20" s="167" t="str">
        <f t="shared" si="8"/>
        <v/>
      </c>
      <c r="U20" s="168" t="str">
        <f t="shared" si="9"/>
        <v/>
      </c>
      <c r="V20" s="358" t="str">
        <f t="shared" si="10"/>
        <v/>
      </c>
      <c r="W20" s="350" t="str">
        <f t="shared" si="11"/>
        <v/>
      </c>
      <c r="X20" s="351" t="str">
        <f t="shared" si="12"/>
        <v/>
      </c>
      <c r="Y20" s="472" t="str">
        <f t="shared" si="13"/>
        <v/>
      </c>
      <c r="Z20" s="170" t="str">
        <f t="shared" si="14"/>
        <v/>
      </c>
      <c r="AA20" s="159"/>
      <c r="AB20" s="171">
        <f t="shared" si="16"/>
        <v>2</v>
      </c>
      <c r="AC20" s="166">
        <f t="shared" si="20"/>
        <v>2.6666666666666665</v>
      </c>
      <c r="AD20" s="166">
        <f t="shared" si="17"/>
        <v>3.3333333333333335</v>
      </c>
      <c r="AE20" s="166">
        <f t="shared" si="18"/>
        <v>4</v>
      </c>
      <c r="AF20" s="441">
        <f t="shared" si="19"/>
        <v>5.333333333333333</v>
      </c>
    </row>
    <row r="21" spans="1:32" ht="14" x14ac:dyDescent="0.2">
      <c r="A21" s="71"/>
      <c r="B21" s="111">
        <v>15</v>
      </c>
      <c r="C21" s="307"/>
      <c r="D21" s="113" t="str">
        <f t="shared" si="0"/>
        <v/>
      </c>
      <c r="E21" s="322" t="str">
        <f t="shared" si="1"/>
        <v/>
      </c>
      <c r="F21" s="326">
        <v>15</v>
      </c>
      <c r="G21" s="115"/>
      <c r="H21" s="112" t="str">
        <f t="shared" si="2"/>
        <v/>
      </c>
      <c r="I21" s="126" t="str">
        <f t="shared" si="15"/>
        <v/>
      </c>
      <c r="J21" s="114"/>
      <c r="K21" s="128" t="str">
        <f t="shared" si="3"/>
        <v/>
      </c>
      <c r="L21" s="115" t="str">
        <f t="shared" si="25"/>
        <v/>
      </c>
      <c r="M21" s="129" t="str">
        <f t="shared" si="26"/>
        <v/>
      </c>
      <c r="N21" s="130" t="str">
        <f t="shared" si="27"/>
        <v/>
      </c>
      <c r="O21" s="398">
        <f t="shared" si="21"/>
        <v>1.3</v>
      </c>
      <c r="P21" s="177"/>
      <c r="Q21" s="125"/>
      <c r="R21" s="151"/>
      <c r="S21" s="151"/>
      <c r="T21" s="167" t="str">
        <f t="shared" si="8"/>
        <v/>
      </c>
      <c r="U21" s="168" t="str">
        <f t="shared" si="9"/>
        <v/>
      </c>
      <c r="V21" s="358" t="str">
        <f t="shared" si="10"/>
        <v/>
      </c>
      <c r="W21" s="350" t="str">
        <f t="shared" si="11"/>
        <v/>
      </c>
      <c r="X21" s="351" t="str">
        <f t="shared" si="12"/>
        <v/>
      </c>
      <c r="Y21" s="472" t="str">
        <f t="shared" si="13"/>
        <v/>
      </c>
      <c r="Z21" s="170" t="str">
        <f t="shared" si="14"/>
        <v/>
      </c>
      <c r="AA21" s="159"/>
      <c r="AB21" s="171">
        <f t="shared" si="16"/>
        <v>1</v>
      </c>
      <c r="AC21" s="166">
        <f t="shared" si="20"/>
        <v>1.3333333333333333</v>
      </c>
      <c r="AD21" s="166">
        <f t="shared" si="17"/>
        <v>1.6666666666666667</v>
      </c>
      <c r="AE21" s="166">
        <f t="shared" si="18"/>
        <v>2</v>
      </c>
      <c r="AF21" s="441">
        <f t="shared" si="19"/>
        <v>2.6666666666666665</v>
      </c>
    </row>
    <row r="22" spans="1:32" ht="14" x14ac:dyDescent="0.2">
      <c r="A22" s="71"/>
      <c r="B22" s="140">
        <v>16</v>
      </c>
      <c r="C22" s="132"/>
      <c r="D22" s="145" t="str">
        <f t="shared" si="0"/>
        <v/>
      </c>
      <c r="E22" s="328" t="str">
        <f t="shared" si="1"/>
        <v/>
      </c>
      <c r="F22" s="327">
        <v>16</v>
      </c>
      <c r="G22" s="136"/>
      <c r="H22" s="132" t="str">
        <f t="shared" si="2"/>
        <v/>
      </c>
      <c r="I22" s="133" t="str">
        <f t="shared" si="15"/>
        <v/>
      </c>
      <c r="J22" s="301"/>
      <c r="K22" s="135" t="str">
        <f t="shared" si="3"/>
        <v/>
      </c>
      <c r="L22" s="136" t="str">
        <f t="shared" si="25"/>
        <v/>
      </c>
      <c r="M22" s="137" t="str">
        <f t="shared" si="26"/>
        <v/>
      </c>
      <c r="N22" s="138" t="str">
        <f t="shared" si="27"/>
        <v/>
      </c>
      <c r="O22" s="138">
        <f t="shared" si="21"/>
        <v>0</v>
      </c>
      <c r="P22" s="183"/>
      <c r="Q22" s="141"/>
      <c r="R22" s="151"/>
      <c r="S22" s="151"/>
      <c r="T22" s="167" t="str">
        <f t="shared" si="8"/>
        <v/>
      </c>
      <c r="U22" s="168" t="str">
        <f t="shared" si="9"/>
        <v/>
      </c>
      <c r="V22" s="358" t="str">
        <f t="shared" si="10"/>
        <v/>
      </c>
      <c r="W22" s="350" t="str">
        <f t="shared" si="11"/>
        <v/>
      </c>
      <c r="X22" s="351" t="str">
        <f t="shared" si="12"/>
        <v/>
      </c>
      <c r="Y22" s="472" t="str">
        <f t="shared" si="13"/>
        <v/>
      </c>
      <c r="Z22" s="170" t="str">
        <f t="shared" si="14"/>
        <v/>
      </c>
      <c r="AA22" s="159"/>
      <c r="AB22" s="171">
        <f t="shared" si="16"/>
        <v>0</v>
      </c>
      <c r="AC22" s="166">
        <f t="shared" si="20"/>
        <v>0</v>
      </c>
      <c r="AD22" s="166">
        <f t="shared" si="17"/>
        <v>0</v>
      </c>
      <c r="AE22" s="166">
        <f t="shared" si="18"/>
        <v>0</v>
      </c>
      <c r="AF22" s="441">
        <f t="shared" si="19"/>
        <v>0</v>
      </c>
    </row>
    <row r="23" spans="1:32" ht="14" x14ac:dyDescent="0.2">
      <c r="A23" s="71"/>
      <c r="B23" s="99"/>
      <c r="C23" s="100"/>
      <c r="D23" s="101" t="str">
        <f t="shared" si="0"/>
        <v/>
      </c>
      <c r="E23" s="323"/>
      <c r="F23" s="325"/>
      <c r="G23" s="103"/>
      <c r="H23" s="100"/>
      <c r="I23" s="104" t="str">
        <f t="shared" si="15"/>
        <v/>
      </c>
      <c r="J23" s="102"/>
      <c r="K23" s="105"/>
      <c r="L23" s="103"/>
      <c r="M23" s="106"/>
      <c r="N23" s="107"/>
      <c r="O23" s="107" t="e">
        <f t="shared" si="21"/>
        <v>#VALUE!</v>
      </c>
      <c r="P23" s="142"/>
      <c r="Q23" s="110"/>
      <c r="R23" s="151"/>
      <c r="S23" s="151"/>
      <c r="T23" s="167" t="str">
        <f t="shared" si="8"/>
        <v/>
      </c>
      <c r="U23" s="168" t="str">
        <f t="shared" si="9"/>
        <v/>
      </c>
      <c r="V23" s="358" t="str">
        <f t="shared" si="10"/>
        <v/>
      </c>
      <c r="W23" s="350" t="str">
        <f t="shared" si="11"/>
        <v/>
      </c>
      <c r="X23" s="351" t="str">
        <f t="shared" si="12"/>
        <v/>
      </c>
      <c r="Y23" s="472" t="str">
        <f t="shared" si="13"/>
        <v/>
      </c>
      <c r="Z23" s="170" t="str">
        <f t="shared" si="14"/>
        <v/>
      </c>
      <c r="AA23" s="159"/>
      <c r="AB23" s="171" t="str">
        <f t="shared" si="16"/>
        <v/>
      </c>
      <c r="AC23" s="166" t="str">
        <f t="shared" si="20"/>
        <v/>
      </c>
      <c r="AD23" s="166" t="str">
        <f t="shared" si="17"/>
        <v/>
      </c>
      <c r="AE23" s="166" t="str">
        <f t="shared" si="18"/>
        <v/>
      </c>
      <c r="AF23" s="441" t="str">
        <f t="shared" si="19"/>
        <v/>
      </c>
    </row>
    <row r="24" spans="1:32" ht="14" x14ac:dyDescent="0.2">
      <c r="A24" s="71"/>
      <c r="B24" s="140"/>
      <c r="C24" s="100"/>
      <c r="D24" s="101" t="str">
        <f t="shared" si="0"/>
        <v/>
      </c>
      <c r="E24" s="102"/>
      <c r="F24" s="102"/>
      <c r="G24" s="103"/>
      <c r="H24" s="100"/>
      <c r="I24" s="104" t="str">
        <f t="shared" si="15"/>
        <v/>
      </c>
      <c r="J24" s="102"/>
      <c r="K24" s="105"/>
      <c r="L24" s="103"/>
      <c r="M24" s="106"/>
      <c r="N24" s="107"/>
      <c r="O24" s="107" t="e">
        <f t="shared" si="21"/>
        <v>#VALUE!</v>
      </c>
      <c r="P24" s="143"/>
      <c r="Q24" s="110"/>
      <c r="R24" s="151"/>
      <c r="S24" s="151"/>
      <c r="T24" s="167" t="str">
        <f t="shared" si="8"/>
        <v/>
      </c>
      <c r="U24" s="168" t="str">
        <f t="shared" si="9"/>
        <v/>
      </c>
      <c r="V24" s="358" t="str">
        <f t="shared" si="10"/>
        <v/>
      </c>
      <c r="W24" s="350" t="str">
        <f t="shared" si="11"/>
        <v/>
      </c>
      <c r="X24" s="351" t="str">
        <f t="shared" si="12"/>
        <v/>
      </c>
      <c r="Y24" s="472" t="str">
        <f t="shared" si="13"/>
        <v/>
      </c>
      <c r="Z24" s="170" t="str">
        <f t="shared" si="14"/>
        <v/>
      </c>
      <c r="AA24" s="159"/>
      <c r="AB24" s="171" t="str">
        <f t="shared" si="16"/>
        <v/>
      </c>
      <c r="AC24" s="166" t="str">
        <f t="shared" si="20"/>
        <v/>
      </c>
      <c r="AD24" s="166" t="str">
        <f t="shared" si="17"/>
        <v/>
      </c>
      <c r="AE24" s="166" t="str">
        <f t="shared" si="18"/>
        <v/>
      </c>
      <c r="AF24" s="441" t="str">
        <f t="shared" si="19"/>
        <v/>
      </c>
    </row>
    <row r="25" spans="1:32" ht="14" x14ac:dyDescent="0.2">
      <c r="A25" s="71"/>
      <c r="B25" s="99"/>
      <c r="C25" s="100"/>
      <c r="D25" s="101" t="str">
        <f t="shared" si="0"/>
        <v/>
      </c>
      <c r="E25" s="102"/>
      <c r="F25" s="102"/>
      <c r="G25" s="103"/>
      <c r="H25" s="100"/>
      <c r="I25" s="104" t="str">
        <f t="shared" si="15"/>
        <v/>
      </c>
      <c r="J25" s="102"/>
      <c r="K25" s="105"/>
      <c r="L25" s="103"/>
      <c r="M25" s="106"/>
      <c r="N25" s="107"/>
      <c r="O25" s="107" t="e">
        <f t="shared" si="21"/>
        <v>#VALUE!</v>
      </c>
      <c r="P25" s="143"/>
      <c r="Q25" s="110"/>
      <c r="R25" s="151"/>
      <c r="S25" s="151"/>
      <c r="T25" s="167" t="str">
        <f t="shared" si="8"/>
        <v/>
      </c>
      <c r="U25" s="168" t="str">
        <f t="shared" si="9"/>
        <v/>
      </c>
      <c r="V25" s="358" t="str">
        <f t="shared" si="10"/>
        <v/>
      </c>
      <c r="W25" s="350" t="str">
        <f t="shared" si="11"/>
        <v/>
      </c>
      <c r="X25" s="351" t="str">
        <f t="shared" si="12"/>
        <v/>
      </c>
      <c r="Y25" s="472" t="str">
        <f t="shared" si="13"/>
        <v/>
      </c>
      <c r="Z25" s="170" t="str">
        <f t="shared" si="14"/>
        <v/>
      </c>
      <c r="AA25" s="159"/>
      <c r="AB25" s="171" t="str">
        <f t="shared" si="16"/>
        <v/>
      </c>
      <c r="AC25" s="166" t="str">
        <f t="shared" si="20"/>
        <v/>
      </c>
      <c r="AD25" s="166" t="str">
        <f t="shared" si="17"/>
        <v/>
      </c>
      <c r="AE25" s="166" t="str">
        <f t="shared" si="18"/>
        <v/>
      </c>
      <c r="AF25" s="441" t="str">
        <f t="shared" si="19"/>
        <v/>
      </c>
    </row>
    <row r="26" spans="1:32" ht="14" x14ac:dyDescent="0.2">
      <c r="A26" s="71"/>
      <c r="B26" s="111"/>
      <c r="C26" s="112"/>
      <c r="D26" s="113" t="str">
        <f t="shared" si="0"/>
        <v/>
      </c>
      <c r="E26" s="114"/>
      <c r="F26" s="114"/>
      <c r="G26" s="115"/>
      <c r="H26" s="112" t="str">
        <f>IFERROR(IF(G26-$Q$2&lt;=0,"",(G26-$Q$2)*86400),"")</f>
        <v/>
      </c>
      <c r="I26" s="126" t="str">
        <f t="shared" si="15"/>
        <v/>
      </c>
      <c r="J26" s="114"/>
      <c r="K26" s="128" t="str">
        <f>IFERROR(H26*(1+0.01*J26)-I26*$N$3,"")</f>
        <v/>
      </c>
      <c r="L26" s="115" t="str">
        <f>IFERROR((K26-$K$7)/86400,"")</f>
        <v/>
      </c>
      <c r="M26" s="129" t="str">
        <f>IFERROR((K26-$K$7)/$N$3,"")</f>
        <v/>
      </c>
      <c r="N26" s="130" t="str">
        <f>IFERROR($N$3/(H26/3600),"")</f>
        <v/>
      </c>
      <c r="O26" s="130" t="e">
        <f t="shared" si="21"/>
        <v>#VALUE!</v>
      </c>
      <c r="P26" s="144"/>
      <c r="Q26" s="125"/>
      <c r="R26" s="151"/>
      <c r="S26" s="151"/>
      <c r="T26" s="167" t="str">
        <f t="shared" si="8"/>
        <v/>
      </c>
      <c r="U26" s="168" t="str">
        <f t="shared" si="9"/>
        <v/>
      </c>
      <c r="V26" s="358" t="str">
        <f t="shared" si="10"/>
        <v/>
      </c>
      <c r="W26" s="350" t="str">
        <f t="shared" si="11"/>
        <v/>
      </c>
      <c r="X26" s="351" t="str">
        <f t="shared" si="12"/>
        <v/>
      </c>
      <c r="Y26" s="472" t="str">
        <f t="shared" si="13"/>
        <v/>
      </c>
      <c r="Z26" s="170" t="str">
        <f t="shared" si="14"/>
        <v/>
      </c>
      <c r="AA26" s="159"/>
      <c r="AB26" s="171" t="str">
        <f t="shared" si="16"/>
        <v/>
      </c>
      <c r="AC26" s="166" t="str">
        <f t="shared" si="20"/>
        <v/>
      </c>
      <c r="AD26" s="166" t="str">
        <f t="shared" si="17"/>
        <v/>
      </c>
      <c r="AE26" s="166" t="str">
        <f t="shared" si="18"/>
        <v/>
      </c>
      <c r="AF26" s="441" t="str">
        <f t="shared" si="19"/>
        <v/>
      </c>
    </row>
    <row r="27" spans="1:32" ht="14" x14ac:dyDescent="0.2">
      <c r="A27" s="71"/>
      <c r="B27" s="140"/>
      <c r="C27" s="132"/>
      <c r="D27" s="145" t="str">
        <f t="shared" si="0"/>
        <v/>
      </c>
      <c r="E27" s="134"/>
      <c r="F27" s="134"/>
      <c r="G27" s="136"/>
      <c r="H27" s="89" t="str">
        <f>IFERROR(IF(G27-$Q$2&lt;=0,"",(G27-$Q$2)*86400),"")</f>
        <v/>
      </c>
      <c r="I27" s="93" t="str">
        <f t="shared" si="15"/>
        <v/>
      </c>
      <c r="J27" s="91"/>
      <c r="K27" s="94" t="str">
        <f>IFERROR(H27*(1+0.01*J27)-I27*$N$3,"")</f>
        <v/>
      </c>
      <c r="L27" s="92" t="str">
        <f>IFERROR((K27-$K$7)/86400,"")</f>
        <v/>
      </c>
      <c r="M27" s="95" t="str">
        <f>IFERROR((K27-$K$7)/$N$3,"")</f>
        <v/>
      </c>
      <c r="N27" s="96" t="str">
        <f>IFERROR($N$3/(H27/3600),"")</f>
        <v/>
      </c>
      <c r="O27" s="138" t="e">
        <f t="shared" si="21"/>
        <v>#VALUE!</v>
      </c>
      <c r="P27" s="146"/>
      <c r="Q27" s="141"/>
      <c r="R27" s="151"/>
      <c r="S27" s="151"/>
      <c r="T27" s="167" t="str">
        <f t="shared" si="8"/>
        <v/>
      </c>
      <c r="U27" s="168" t="str">
        <f t="shared" si="9"/>
        <v/>
      </c>
      <c r="V27" s="358" t="str">
        <f t="shared" si="10"/>
        <v/>
      </c>
      <c r="W27" s="350" t="str">
        <f t="shared" si="11"/>
        <v/>
      </c>
      <c r="X27" s="351" t="str">
        <f t="shared" si="12"/>
        <v/>
      </c>
      <c r="Y27" s="472" t="str">
        <f t="shared" si="13"/>
        <v/>
      </c>
      <c r="Z27" s="170" t="str">
        <f t="shared" si="14"/>
        <v/>
      </c>
      <c r="AA27" s="159"/>
      <c r="AB27" s="171" t="str">
        <f t="shared" si="16"/>
        <v/>
      </c>
      <c r="AC27" s="166" t="str">
        <f t="shared" si="20"/>
        <v/>
      </c>
      <c r="AD27" s="166" t="str">
        <f t="shared" si="17"/>
        <v/>
      </c>
      <c r="AE27" s="437" t="str">
        <f t="shared" ref="AE27:AE31" si="28">IF(ISBLANK(C27),"",IFERROR(30*($P$3-$B27)/($P$3-1)+10,"30.0"))</f>
        <v/>
      </c>
      <c r="AF27" s="441" t="str">
        <f t="shared" si="19"/>
        <v/>
      </c>
    </row>
    <row r="28" spans="1:32" ht="14.25" customHeight="1" x14ac:dyDescent="0.2">
      <c r="A28" s="71"/>
      <c r="B28" s="99"/>
      <c r="C28" s="100"/>
      <c r="D28" s="101" t="str">
        <f t="shared" si="0"/>
        <v/>
      </c>
      <c r="E28" s="102"/>
      <c r="F28" s="102"/>
      <c r="G28" s="103"/>
      <c r="H28" s="100"/>
      <c r="I28" s="104" t="str">
        <f t="shared" si="15"/>
        <v/>
      </c>
      <c r="J28" s="102"/>
      <c r="K28" s="105"/>
      <c r="L28" s="103"/>
      <c r="M28" s="106"/>
      <c r="N28" s="107"/>
      <c r="O28" s="107" t="e">
        <f t="shared" si="21"/>
        <v>#VALUE!</v>
      </c>
      <c r="P28" s="147"/>
      <c r="Q28" s="110"/>
      <c r="R28" s="151"/>
      <c r="S28" s="151"/>
      <c r="T28" s="167" t="str">
        <f t="shared" si="8"/>
        <v/>
      </c>
      <c r="U28" s="168" t="str">
        <f t="shared" si="9"/>
        <v/>
      </c>
      <c r="V28" s="358" t="str">
        <f t="shared" si="10"/>
        <v/>
      </c>
      <c r="W28" s="350" t="str">
        <f t="shared" si="11"/>
        <v/>
      </c>
      <c r="X28" s="351" t="str">
        <f t="shared" si="12"/>
        <v/>
      </c>
      <c r="Y28" s="472" t="str">
        <f t="shared" si="13"/>
        <v/>
      </c>
      <c r="Z28" s="170" t="str">
        <f t="shared" si="14"/>
        <v/>
      </c>
      <c r="AA28" s="159"/>
      <c r="AB28" s="171" t="str">
        <f t="shared" si="16"/>
        <v/>
      </c>
      <c r="AC28" s="166" t="str">
        <f t="shared" si="20"/>
        <v/>
      </c>
      <c r="AD28" s="166" t="str">
        <f t="shared" si="17"/>
        <v/>
      </c>
      <c r="AE28" s="437" t="str">
        <f t="shared" si="28"/>
        <v/>
      </c>
      <c r="AF28" s="441" t="str">
        <f t="shared" si="19"/>
        <v/>
      </c>
    </row>
    <row r="29" spans="1:32" ht="14" x14ac:dyDescent="0.2">
      <c r="A29" s="71"/>
      <c r="B29" s="99"/>
      <c r="C29" s="100"/>
      <c r="D29" s="101" t="str">
        <f t="shared" si="0"/>
        <v/>
      </c>
      <c r="E29" s="102"/>
      <c r="F29" s="102"/>
      <c r="G29" s="103"/>
      <c r="H29" s="100"/>
      <c r="I29" s="104" t="str">
        <f t="shared" si="15"/>
        <v/>
      </c>
      <c r="J29" s="102"/>
      <c r="K29" s="105"/>
      <c r="L29" s="103"/>
      <c r="M29" s="106"/>
      <c r="N29" s="107"/>
      <c r="O29" s="107" t="e">
        <f t="shared" si="21"/>
        <v>#VALUE!</v>
      </c>
      <c r="P29" s="143"/>
      <c r="Q29" s="110"/>
      <c r="R29" s="151"/>
      <c r="S29" s="151"/>
      <c r="T29" s="167" t="str">
        <f t="shared" si="8"/>
        <v/>
      </c>
      <c r="U29" s="168" t="str">
        <f t="shared" si="9"/>
        <v/>
      </c>
      <c r="V29" s="358" t="str">
        <f t="shared" si="10"/>
        <v/>
      </c>
      <c r="W29" s="350" t="str">
        <f t="shared" si="11"/>
        <v/>
      </c>
      <c r="X29" s="351" t="str">
        <f t="shared" si="12"/>
        <v/>
      </c>
      <c r="Y29" s="472" t="str">
        <f t="shared" si="13"/>
        <v/>
      </c>
      <c r="Z29" s="170" t="str">
        <f t="shared" si="14"/>
        <v/>
      </c>
      <c r="AA29" s="159"/>
      <c r="AB29" s="171" t="str">
        <f t="shared" si="16"/>
        <v/>
      </c>
      <c r="AC29" s="166" t="str">
        <f t="shared" si="20"/>
        <v/>
      </c>
      <c r="AD29" s="166" t="str">
        <f t="shared" si="17"/>
        <v/>
      </c>
      <c r="AE29" s="437" t="str">
        <f t="shared" si="28"/>
        <v/>
      </c>
      <c r="AF29" s="441" t="str">
        <f t="shared" si="19"/>
        <v/>
      </c>
    </row>
    <row r="30" spans="1:32" ht="14.25" customHeight="1" x14ac:dyDescent="0.2">
      <c r="A30" s="71"/>
      <c r="B30" s="99"/>
      <c r="C30" s="100"/>
      <c r="D30" s="101" t="str">
        <f t="shared" si="0"/>
        <v/>
      </c>
      <c r="E30" s="102"/>
      <c r="F30" s="102"/>
      <c r="G30" s="103"/>
      <c r="H30" s="100"/>
      <c r="I30" s="104" t="str">
        <f t="shared" si="15"/>
        <v/>
      </c>
      <c r="J30" s="102"/>
      <c r="K30" s="105"/>
      <c r="L30" s="103"/>
      <c r="M30" s="106"/>
      <c r="N30" s="107"/>
      <c r="O30" s="107" t="e">
        <f t="shared" si="21"/>
        <v>#VALUE!</v>
      </c>
      <c r="P30" s="143"/>
      <c r="Q30" s="110"/>
      <c r="R30" s="151"/>
      <c r="S30" s="151"/>
      <c r="T30" s="167" t="str">
        <f t="shared" si="8"/>
        <v/>
      </c>
      <c r="U30" s="168" t="str">
        <f t="shared" si="9"/>
        <v/>
      </c>
      <c r="V30" s="358" t="str">
        <f t="shared" si="10"/>
        <v/>
      </c>
      <c r="W30" s="350" t="str">
        <f t="shared" si="11"/>
        <v/>
      </c>
      <c r="X30" s="351" t="str">
        <f t="shared" si="12"/>
        <v/>
      </c>
      <c r="Y30" s="472" t="str">
        <f t="shared" si="13"/>
        <v/>
      </c>
      <c r="Z30" s="170" t="str">
        <f t="shared" si="14"/>
        <v/>
      </c>
      <c r="AA30" s="159"/>
      <c r="AB30" s="171" t="str">
        <f t="shared" si="16"/>
        <v/>
      </c>
      <c r="AC30" s="166" t="str">
        <f t="shared" si="20"/>
        <v/>
      </c>
      <c r="AD30" s="166" t="str">
        <f t="shared" si="17"/>
        <v/>
      </c>
      <c r="AE30" s="437" t="str">
        <f t="shared" si="28"/>
        <v/>
      </c>
      <c r="AF30" s="441" t="str">
        <f t="shared" si="19"/>
        <v/>
      </c>
    </row>
    <row r="31" spans="1:32" ht="14.5" thickBot="1" x14ac:dyDescent="0.25">
      <c r="A31" s="71"/>
      <c r="B31" s="99"/>
      <c r="C31" s="100"/>
      <c r="D31" s="113" t="str">
        <f t="shared" si="0"/>
        <v/>
      </c>
      <c r="E31" s="114"/>
      <c r="F31" s="102"/>
      <c r="G31" s="103"/>
      <c r="H31" s="112" t="str">
        <f>IFERROR(IF(G31-$Q$2&lt;=0,"",(G31-$Q$2)*86400),"")</f>
        <v/>
      </c>
      <c r="I31" s="126" t="str">
        <f t="shared" si="15"/>
        <v/>
      </c>
      <c r="J31" s="114"/>
      <c r="K31" s="128" t="str">
        <f>IFERROR(H31*(1+0.01*J31)-I31*$N$3,"")</f>
        <v/>
      </c>
      <c r="L31" s="115" t="str">
        <f>IFERROR((K31-$K$7)/86400,"")</f>
        <v/>
      </c>
      <c r="M31" s="129" t="str">
        <f>IFERROR((K31-$K$7)/$N$3,"")</f>
        <v/>
      </c>
      <c r="N31" s="130" t="str">
        <f>IFERROR($N$3/(H31/3600),"")</f>
        <v/>
      </c>
      <c r="O31" s="130" t="e">
        <f t="shared" si="21"/>
        <v>#VALUE!</v>
      </c>
      <c r="P31" s="144"/>
      <c r="Q31" s="125"/>
      <c r="R31" s="151"/>
      <c r="S31" s="151"/>
      <c r="T31" s="172" t="str">
        <f t="shared" si="8"/>
        <v/>
      </c>
      <c r="U31" s="173" t="str">
        <f t="shared" si="9"/>
        <v/>
      </c>
      <c r="V31" s="355" t="str">
        <f t="shared" si="10"/>
        <v/>
      </c>
      <c r="W31" s="359" t="str">
        <f t="shared" si="11"/>
        <v/>
      </c>
      <c r="X31" s="353" t="str">
        <f t="shared" si="12"/>
        <v/>
      </c>
      <c r="Y31" s="473" t="str">
        <f t="shared" si="13"/>
        <v/>
      </c>
      <c r="Z31" s="354" t="str">
        <f t="shared" si="14"/>
        <v/>
      </c>
      <c r="AA31" s="159"/>
      <c r="AB31" s="442" t="str">
        <f t="shared" si="16"/>
        <v/>
      </c>
      <c r="AC31" s="443" t="str">
        <f t="shared" si="20"/>
        <v/>
      </c>
      <c r="AD31" s="443" t="str">
        <f t="shared" si="17"/>
        <v/>
      </c>
      <c r="AE31" s="438" t="str">
        <f t="shared" si="28"/>
        <v/>
      </c>
      <c r="AF31" s="444" t="str">
        <f t="shared" si="19"/>
        <v/>
      </c>
    </row>
    <row r="32" spans="1:32" ht="15" customHeight="1" x14ac:dyDescent="0.25">
      <c r="A32" s="71"/>
      <c r="B32" s="584" t="s">
        <v>190</v>
      </c>
      <c r="C32" s="585"/>
      <c r="D32" s="586"/>
      <c r="E32" s="148" t="s">
        <v>151</v>
      </c>
      <c r="F32" s="593" t="s">
        <v>216</v>
      </c>
      <c r="G32" s="594"/>
      <c r="H32" s="595" t="s">
        <v>247</v>
      </c>
      <c r="I32" s="596"/>
      <c r="J32" s="596"/>
      <c r="K32" s="596"/>
      <c r="L32" s="596"/>
      <c r="M32" s="596"/>
      <c r="N32" s="596"/>
      <c r="O32" s="596"/>
      <c r="P32" s="596"/>
      <c r="Q32" s="597"/>
      <c r="R32" s="62"/>
      <c r="S32" s="62"/>
      <c r="T32" s="154"/>
      <c r="U32" s="154"/>
      <c r="V32" s="154"/>
      <c r="Y32" s="154"/>
      <c r="Z32" s="154"/>
      <c r="AA32" s="154"/>
    </row>
    <row r="33" spans="1:32" ht="15" customHeight="1" x14ac:dyDescent="0.25">
      <c r="A33" s="71"/>
      <c r="B33" s="587"/>
      <c r="C33" s="588"/>
      <c r="D33" s="589"/>
      <c r="E33" s="149" t="s">
        <v>152</v>
      </c>
      <c r="F33" s="576" t="s">
        <v>217</v>
      </c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62"/>
      <c r="S33" s="62"/>
      <c r="T33" s="154"/>
      <c r="U33" s="154"/>
      <c r="V33" s="154"/>
      <c r="Y33" s="154"/>
      <c r="Z33" s="154"/>
      <c r="AA33" s="154"/>
      <c r="AB33" s="515" t="s">
        <v>294</v>
      </c>
      <c r="AC33" s="515"/>
      <c r="AD33" s="515"/>
      <c r="AE33" s="515"/>
      <c r="AF33" s="515"/>
    </row>
    <row r="34" spans="1:32" ht="23.25" customHeight="1" x14ac:dyDescent="0.25">
      <c r="A34" s="71"/>
      <c r="B34" s="590"/>
      <c r="C34" s="591"/>
      <c r="D34" s="592"/>
      <c r="E34" s="149" t="s">
        <v>153</v>
      </c>
      <c r="F34" s="576"/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62"/>
      <c r="S34" s="62"/>
      <c r="T34" s="154"/>
      <c r="U34" s="154"/>
      <c r="V34" s="154"/>
      <c r="Y34" s="154"/>
      <c r="Z34" s="154"/>
      <c r="AA34" s="154"/>
    </row>
    <row r="35" spans="1:32" ht="22.5" customHeight="1" x14ac:dyDescent="0.25">
      <c r="A35" s="71"/>
      <c r="B35" s="604" t="s">
        <v>191</v>
      </c>
      <c r="C35" s="605"/>
      <c r="D35" s="606"/>
      <c r="E35" s="578" t="s">
        <v>155</v>
      </c>
      <c r="F35" s="576" t="str">
        <f>参照ﾃﾞｰﾀ!AB12</f>
        <v>飛車角</v>
      </c>
      <c r="G35" s="577"/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62"/>
      <c r="S35" s="62"/>
      <c r="T35" s="154"/>
      <c r="U35" s="154"/>
      <c r="V35" s="154"/>
      <c r="Y35" s="154"/>
      <c r="Z35" s="154"/>
      <c r="AA35" s="154"/>
    </row>
    <row r="36" spans="1:32" ht="15" customHeight="1" x14ac:dyDescent="0.25">
      <c r="A36" s="71"/>
      <c r="B36" s="607"/>
      <c r="C36" s="608"/>
      <c r="D36" s="609"/>
      <c r="E36" s="615"/>
      <c r="F36" s="576"/>
      <c r="G36" s="577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62"/>
      <c r="S36" s="62"/>
      <c r="T36" s="154"/>
      <c r="U36" s="154"/>
      <c r="V36" s="154"/>
      <c r="Y36" s="154"/>
      <c r="Z36" s="154"/>
      <c r="AA36" s="154"/>
    </row>
    <row r="37" spans="1:32" ht="15" customHeight="1" x14ac:dyDescent="0.25">
      <c r="A37" s="71"/>
      <c r="B37" s="607"/>
      <c r="C37" s="608"/>
      <c r="D37" s="609"/>
      <c r="E37" s="148" t="s">
        <v>154</v>
      </c>
      <c r="F37" s="574">
        <f>参照ﾃﾞｰﾀ!Z15</f>
        <v>46341</v>
      </c>
      <c r="G37" s="5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62"/>
      <c r="S37" s="62"/>
      <c r="T37" s="154"/>
      <c r="U37" s="154"/>
      <c r="V37" s="154"/>
      <c r="Y37" s="154"/>
      <c r="Z37" s="154"/>
      <c r="AA37" s="154"/>
    </row>
    <row r="38" spans="1:32" ht="15" customHeight="1" x14ac:dyDescent="0.25">
      <c r="A38" s="71"/>
      <c r="B38" s="607"/>
      <c r="C38" s="608"/>
      <c r="D38" s="609"/>
      <c r="E38" s="149" t="s">
        <v>167</v>
      </c>
      <c r="F38" s="576" t="str">
        <f>参照ﾃﾞｰﾀ!AA15</f>
        <v>F</v>
      </c>
      <c r="G38" s="5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62"/>
      <c r="S38" s="62"/>
      <c r="T38" s="154"/>
      <c r="U38" s="154"/>
      <c r="V38" s="154"/>
      <c r="Y38" s="154"/>
      <c r="Z38" s="154"/>
      <c r="AA38" s="154"/>
    </row>
    <row r="39" spans="1:32" ht="15" customHeight="1" x14ac:dyDescent="0.25">
      <c r="A39" s="71"/>
      <c r="B39" s="607"/>
      <c r="C39" s="608"/>
      <c r="D39" s="609"/>
      <c r="E39" s="578" t="s">
        <v>155</v>
      </c>
      <c r="F39" s="576" t="str">
        <f>参照ﾃﾞｰﾀ!AB15</f>
        <v>Miss Emica</v>
      </c>
      <c r="G39" s="5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62"/>
      <c r="S39" s="62"/>
      <c r="T39" s="154"/>
      <c r="U39" s="154"/>
      <c r="V39" s="154"/>
      <c r="Y39" s="154"/>
      <c r="Z39" s="154"/>
      <c r="AA39" s="154"/>
    </row>
    <row r="40" spans="1:32" ht="15" customHeight="1" x14ac:dyDescent="0.25">
      <c r="A40" s="71"/>
      <c r="B40" s="607"/>
      <c r="C40" s="608"/>
      <c r="D40" s="609"/>
      <c r="E40" s="578"/>
      <c r="F40" s="576" t="s">
        <v>293</v>
      </c>
      <c r="G40" s="577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62"/>
      <c r="S40" s="62"/>
      <c r="T40" s="154"/>
      <c r="U40" s="154"/>
      <c r="V40" s="154"/>
      <c r="Y40" s="154"/>
      <c r="Z40" s="154"/>
      <c r="AA40" s="154"/>
    </row>
    <row r="41" spans="1:32" ht="11.25" customHeight="1" thickBot="1" x14ac:dyDescent="0.3">
      <c r="A41" s="71"/>
      <c r="B41" s="610"/>
      <c r="C41" s="611"/>
      <c r="D41" s="612"/>
      <c r="E41" s="150"/>
      <c r="F41" s="613"/>
      <c r="G41" s="614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62"/>
      <c r="S41" s="62"/>
      <c r="T41" s="154"/>
      <c r="U41" s="154"/>
      <c r="V41" s="154"/>
      <c r="W41" s="154"/>
      <c r="X41" s="154"/>
      <c r="Y41" s="154"/>
      <c r="Z41" s="154"/>
      <c r="AA41" s="154"/>
    </row>
    <row r="42" spans="1:32" x14ac:dyDescent="0.2">
      <c r="A42" s="71"/>
      <c r="B42" s="71"/>
      <c r="C42" s="71"/>
      <c r="D42" s="71"/>
      <c r="E42" s="71"/>
      <c r="F42" s="71"/>
      <c r="G42" s="71"/>
      <c r="H42" s="71" t="s">
        <v>213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</sheetData>
  <sheetProtection algorithmName="SHA-512" hashValue="iaLyxibWHlakYNhJq7SpRAJQieCuD8Of+q8q1N0aaXLWrDKxlGFqxlS1LhfhyJeQYDzEAmFdLFl6NQOtFZgx1Q==" saltValue="Pt1UycRf3qoPPXCxNZt57g==" spinCount="100000" sheet="1" objects="1" scenarios="1"/>
  <sortState xmlns:xlrd2="http://schemas.microsoft.com/office/spreadsheetml/2017/richdata2" ref="C7:K21">
    <sortCondition ref="K7:K21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disablePrompts="1" count="9">
    <dataValidation type="list" allowBlank="1" showInputMessage="1" showErrorMessage="1" sqref="P2 F37:G37" xr:uid="{00000000-0002-0000-0300-000000000000}">
      <formula1>開催日</formula1>
    </dataValidation>
    <dataValidation type="list" allowBlank="1" showInputMessage="1" showErrorMessage="1" sqref="Q2" xr:uid="{00000000-0002-0000-0300-000001000000}">
      <formula1>時刻</formula1>
    </dataValidation>
    <dataValidation type="list" allowBlank="1" showInputMessage="1" showErrorMessage="1" sqref="J3:K3" xr:uid="{00000000-0002-0000-0300-000002000000}">
      <formula1>暫定</formula1>
    </dataValidation>
    <dataValidation type="list" allowBlank="1" showInputMessage="1" showErrorMessage="1" sqref="G2" xr:uid="{00000000-0002-0000-0300-000003000000}">
      <formula1>月</formula1>
    </dataValidation>
    <dataValidation type="list" allowBlank="1" showInputMessage="1" showErrorMessage="1" sqref="N2" xr:uid="{00000000-0002-0000-0300-000004000000}">
      <formula1>コース</formula1>
    </dataValidation>
    <dataValidation type="list" showInputMessage="1" showErrorMessage="1" sqref="E3" xr:uid="{00000000-0002-0000-0300-000005000000}">
      <formula1>レース名</formula1>
    </dataValidation>
    <dataValidation type="list" allowBlank="1" showInputMessage="1" showErrorMessage="1" sqref="I6" xr:uid="{00000000-0002-0000-0300-000006000000}">
      <formula1>ＴＡ</formula1>
    </dataValidation>
    <dataValidation type="list" allowBlank="1" showInputMessage="1" showErrorMessage="1" sqref="D3" xr:uid="{00000000-0002-0000-0300-000007000000}">
      <formula1>レース番号</formula1>
    </dataValidation>
    <dataValidation type="list" allowBlank="1" showInputMessage="1" showErrorMessage="1" sqref="O6" xr:uid="{938994BA-83E8-4D3F-8251-C1365D60947C}">
      <formula1>$AB$6:$AF$6</formula1>
    </dataValidation>
  </dataValidations>
  <pageMargins left="0.31496062992125984" right="0" top="0.35433070866141736" bottom="0.19685039370078741" header="0" footer="0"/>
  <pageSetup paperSize="9" scale="9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30032AF-2FFF-4C53-91EC-726481D389F7}">
          <x14:formula1>
            <xm:f>参照ﾃﾞｰﾀ!$B$4:$B$17</xm:f>
          </x14:formula1>
          <xm:sqref>F38:G38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42"/>
  <sheetViews>
    <sheetView zoomScale="85" zoomScaleNormal="85" workbookViewId="0">
      <selection activeCell="B22" sqref="B22:B23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" style="153" hidden="1" customWidth="1"/>
    <col min="6" max="6" width="5" style="153" customWidth="1"/>
    <col min="7" max="7" width="10.90625" style="153" customWidth="1"/>
    <col min="8" max="8" width="8.363281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6328125" style="153" bestFit="1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1.6328125" style="153" customWidth="1"/>
    <col min="18" max="18" width="2.26953125" style="153" customWidth="1"/>
    <col min="19" max="20" width="7.6328125" style="153" hidden="1" customWidth="1"/>
    <col min="21" max="21" width="3" style="153" customWidth="1"/>
    <col min="22" max="22" width="8.26953125" style="153" customWidth="1"/>
    <col min="23" max="25" width="7.6328125" style="153" customWidth="1"/>
    <col min="26" max="26" width="4.453125" style="153" customWidth="1"/>
    <col min="27" max="29" width="8" style="153" customWidth="1"/>
    <col min="30" max="16384" width="9" style="153"/>
  </cols>
  <sheetData>
    <row r="1" spans="1:31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31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165</v>
      </c>
      <c r="H2" s="65"/>
      <c r="I2" s="66"/>
      <c r="J2" s="62"/>
      <c r="K2" s="67"/>
      <c r="L2" s="62"/>
      <c r="M2" s="68" t="s">
        <v>33</v>
      </c>
      <c r="N2" s="518" t="s">
        <v>280</v>
      </c>
      <c r="O2" s="70" t="s">
        <v>35</v>
      </c>
      <c r="P2" s="194">
        <f>参照ﾃﾞｰﾀ!J15</f>
        <v>46341</v>
      </c>
      <c r="Q2" s="195">
        <v>0.4375</v>
      </c>
      <c r="R2" s="62"/>
      <c r="S2" s="155" t="s">
        <v>2</v>
      </c>
      <c r="T2" s="154"/>
      <c r="U2" s="154"/>
      <c r="V2" s="155" t="str">
        <f>参照ＴＡ!AL3</f>
        <v>2026年</v>
      </c>
      <c r="W2" s="155" t="str">
        <f>参照ＴＡ!AN3</f>
        <v>11月</v>
      </c>
      <c r="X2" s="154"/>
      <c r="Y2" s="154"/>
      <c r="Z2" s="154"/>
    </row>
    <row r="3" spans="1:31" ht="21.75" customHeight="1" thickBot="1" x14ac:dyDescent="0.35">
      <c r="A3" s="71"/>
      <c r="B3" s="62"/>
      <c r="C3" s="71"/>
      <c r="D3" s="72" t="s">
        <v>277</v>
      </c>
      <c r="E3" s="616" t="s">
        <v>45</v>
      </c>
      <c r="F3" s="616"/>
      <c r="G3" s="616"/>
      <c r="H3" s="616"/>
      <c r="I3" s="616"/>
      <c r="J3" s="581" t="s">
        <v>36</v>
      </c>
      <c r="K3" s="581"/>
      <c r="L3" s="62"/>
      <c r="M3" s="73" t="s">
        <v>56</v>
      </c>
      <c r="N3" s="74">
        <f>IF(ISBLANK(N2),"",VLOOKUP(N2,コース・距離,2,FALSE))</f>
        <v>15.4</v>
      </c>
      <c r="O3" s="75" t="s">
        <v>0</v>
      </c>
      <c r="P3" s="517">
        <v>15</v>
      </c>
      <c r="Q3" s="77" t="s">
        <v>1</v>
      </c>
      <c r="R3" s="62"/>
      <c r="S3" s="154" t="s">
        <v>182</v>
      </c>
      <c r="T3" s="154"/>
      <c r="U3" s="154"/>
      <c r="V3" s="155" t="s">
        <v>2</v>
      </c>
      <c r="W3" s="154"/>
      <c r="X3" s="154"/>
      <c r="Y3" s="154"/>
      <c r="Z3" s="154"/>
      <c r="AA3" s="156" t="s">
        <v>57</v>
      </c>
    </row>
    <row r="4" spans="1:31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154"/>
      <c r="T4" s="154"/>
      <c r="U4" s="154"/>
      <c r="V4" s="157"/>
      <c r="W4" s="154"/>
      <c r="X4" s="154"/>
      <c r="Y4" s="154"/>
      <c r="Z4" s="154"/>
    </row>
    <row r="5" spans="1:31" ht="15.5" x14ac:dyDescent="0.25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151"/>
      <c r="S5" s="160" t="s">
        <v>10</v>
      </c>
      <c r="T5" s="158" t="s">
        <v>10</v>
      </c>
      <c r="U5" s="154"/>
      <c r="V5" s="160" t="s">
        <v>10</v>
      </c>
      <c r="W5" s="158" t="s">
        <v>10</v>
      </c>
      <c r="X5" s="356" t="s">
        <v>10</v>
      </c>
      <c r="Y5" s="161" t="s">
        <v>10</v>
      </c>
      <c r="Z5" s="159"/>
      <c r="AA5" s="160" t="s">
        <v>13</v>
      </c>
      <c r="AB5" s="158" t="s">
        <v>13</v>
      </c>
      <c r="AC5" s="356" t="s">
        <v>13</v>
      </c>
      <c r="AD5" s="158" t="s">
        <v>13</v>
      </c>
      <c r="AE5" s="431" t="s">
        <v>13</v>
      </c>
    </row>
    <row r="6" spans="1:31" ht="15.5" x14ac:dyDescent="0.25">
      <c r="A6" s="71"/>
      <c r="B6" s="81"/>
      <c r="C6" s="82" t="s">
        <v>14</v>
      </c>
      <c r="D6" s="83"/>
      <c r="E6" s="84" t="s">
        <v>15</v>
      </c>
      <c r="F6" s="84"/>
      <c r="G6" s="82" t="s">
        <v>16</v>
      </c>
      <c r="H6" s="84" t="s">
        <v>17</v>
      </c>
      <c r="I6" s="516" t="s">
        <v>267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430" t="str">
        <f>参照ﾃﾞｰﾀ!K15</f>
        <v>MAX=25</v>
      </c>
      <c r="P6" s="86"/>
      <c r="Q6" s="87"/>
      <c r="R6" s="152"/>
      <c r="S6" s="164" t="s">
        <v>20</v>
      </c>
      <c r="T6" s="162" t="s">
        <v>22</v>
      </c>
      <c r="U6" s="154"/>
      <c r="V6" s="164" t="s">
        <v>20</v>
      </c>
      <c r="W6" s="162" t="s">
        <v>22</v>
      </c>
      <c r="X6" s="471" t="s">
        <v>21</v>
      </c>
      <c r="Y6" s="474" t="s">
        <v>250</v>
      </c>
      <c r="Z6" s="163"/>
      <c r="AA6" s="439" t="s">
        <v>206</v>
      </c>
      <c r="AB6" s="430" t="s">
        <v>59</v>
      </c>
      <c r="AC6" s="440" t="s">
        <v>205</v>
      </c>
      <c r="AD6" s="430" t="s">
        <v>251</v>
      </c>
      <c r="AE6" s="436" t="s">
        <v>252</v>
      </c>
    </row>
    <row r="7" spans="1:31" ht="15.5" x14ac:dyDescent="0.25">
      <c r="A7" s="71"/>
      <c r="B7" s="88">
        <v>1</v>
      </c>
      <c r="C7" s="89"/>
      <c r="D7" s="90" t="str">
        <f t="shared" ref="D7:D31" si="0">IF(ISBLANK(C7),"",VLOOKUP(C7,第5月ＴＡ,2,FALSE))</f>
        <v/>
      </c>
      <c r="E7" s="320">
        <f t="shared" ref="E7:E20" si="1">IF($I$6="Ⅰ",S7,IF($I$6="Ⅱ",T7,IF($I$6="Ⅲ",U7,"")))</f>
        <v>0</v>
      </c>
      <c r="F7" s="91">
        <v>1</v>
      </c>
      <c r="G7" s="92"/>
      <c r="H7" s="89" t="str">
        <f t="shared" ref="H7:H16" si="2">IFERROR(IF(G7-$Q$2&lt;=0,"",(G7-$Q$2)*86400),"")</f>
        <v/>
      </c>
      <c r="I7" s="93" t="str">
        <f>IF($I$6="Ⅰ",V7,IF($I$6="Ⅱ",W7,IF($I$6="Ⅲ",X7,IF($I$6="IV",Y7,""))))</f>
        <v/>
      </c>
      <c r="J7" s="91"/>
      <c r="K7" s="94" t="str">
        <f t="shared" ref="K7:K16" si="3">IFERROR(H7*(1+0.01*J7)-I7*$N$3,"")</f>
        <v/>
      </c>
      <c r="L7" s="92" t="str">
        <f t="shared" ref="L7:L16" si="4">IFERROR((K7-$K$7)/86400,"")</f>
        <v/>
      </c>
      <c r="M7" s="95" t="str">
        <f t="shared" ref="M7:M16" si="5">IFERROR((K7-$K$7)/$N$3,"")</f>
        <v/>
      </c>
      <c r="N7" s="96" t="str">
        <f t="shared" ref="N7:N16" si="6">IFERROR($N$3/(H7/3600),"")</f>
        <v/>
      </c>
      <c r="O7" s="445">
        <f>ROUND(IF($O$6="MAX=15",AA7,IF($O$6="MAX=20",AB7,IF($O$6="MAX=25",AC7,IF($O$6="MAX=30",AD7,IF($O$6="MAX=40",AE7))))),1)</f>
        <v>25</v>
      </c>
      <c r="P7" s="184"/>
      <c r="Q7" s="98"/>
      <c r="R7" s="151"/>
      <c r="S7" s="167" t="str">
        <f t="shared" ref="S7:S31" si="7">IF(ISBLANK(C7),"",VLOOKUP(C7,各艇データ,3,FALSE))</f>
        <v/>
      </c>
      <c r="T7" s="168" t="str">
        <f t="shared" ref="T7:T31" si="8">IF(ISBLANK(C7),"",VLOOKUP(C7,各艇データ,4,FALSE))</f>
        <v/>
      </c>
      <c r="U7" s="154"/>
      <c r="V7" s="350" t="str">
        <f t="shared" ref="V7:V31" si="9">IF(ISBLANK(C7),"",VLOOKUP(C7,第5月ＴＡ,3,FALSE))</f>
        <v/>
      </c>
      <c r="W7" s="351" t="str">
        <f t="shared" ref="W7:W31" si="10">IF(ISBLANK(C7),"",VLOOKUP(C7,第5月ＴＡ,4,FALSE))</f>
        <v/>
      </c>
      <c r="X7" s="472" t="str">
        <f>IF(ISBLANK(C7),"",VLOOKUP(C7,第5月ＴＡ,5,FALSE))</f>
        <v/>
      </c>
      <c r="Y7" s="170" t="str">
        <f t="shared" ref="Y7:Y31" si="11">IF(ISBLANK(C7),"",VLOOKUP(C7,第5月ＴＡ,6,FALSE))</f>
        <v/>
      </c>
      <c r="Z7" s="159"/>
      <c r="AA7" s="171">
        <f>IF(ISBLANK($B7),"",IFERROR(15*($P$3+1-$B7)/$P$3,"15.0"))</f>
        <v>15</v>
      </c>
      <c r="AB7" s="166">
        <f>IF(ISBLANK($B7),"",IFERROR(20*($P$3+1-$B7)/$P$3,"20.0"))</f>
        <v>20</v>
      </c>
      <c r="AC7" s="166">
        <f>IF(ISBLANK($B7),"",IFERROR(25*($P$3+1-$B7)/$P$3,"25.0"))</f>
        <v>25</v>
      </c>
      <c r="AD7" s="166">
        <f>IF(ISBLANK($B7),"",IFERROR(30*($P$3+1-$B7)/$P$3,"30.0"))</f>
        <v>30</v>
      </c>
      <c r="AE7" s="441">
        <f>IF(ISBLANK($B7),"",IFERROR(40*($P$3+1-$B7)/$P$3,"40.0"))</f>
        <v>40</v>
      </c>
    </row>
    <row r="8" spans="1:31" ht="15.5" x14ac:dyDescent="0.25">
      <c r="A8" s="71"/>
      <c r="B8" s="99">
        <v>2</v>
      </c>
      <c r="C8" s="100"/>
      <c r="D8" s="101" t="str">
        <f t="shared" si="0"/>
        <v/>
      </c>
      <c r="E8" s="321">
        <f t="shared" si="1"/>
        <v>0</v>
      </c>
      <c r="F8" s="325">
        <v>2</v>
      </c>
      <c r="G8" s="103"/>
      <c r="H8" s="100" t="str">
        <f t="shared" si="2"/>
        <v/>
      </c>
      <c r="I8" s="104" t="str">
        <f t="shared" ref="I8:I31" si="12">IF($I$6="Ⅰ",V8,IF($I$6="Ⅱ",W8,IF($I$6="Ⅲ",X8,IF($I$6="IV",Y8,""))))</f>
        <v/>
      </c>
      <c r="J8" s="102"/>
      <c r="K8" s="105" t="str">
        <f t="shared" si="3"/>
        <v/>
      </c>
      <c r="L8" s="103" t="str">
        <f t="shared" si="4"/>
        <v/>
      </c>
      <c r="M8" s="106" t="str">
        <f t="shared" si="5"/>
        <v/>
      </c>
      <c r="N8" s="107" t="str">
        <f t="shared" si="6"/>
        <v/>
      </c>
      <c r="O8" s="380">
        <f t="shared" ref="O8:O31" si="13">ROUND(IF($O$6="MAX=15",AA8,IF($O$6="MAX=20",AB8,IF($O$6="MAX=25",AC8,IF($O$6="MAX=30",AD8,IF($O$6="MAX=40",AE8))))),1)</f>
        <v>23.3</v>
      </c>
      <c r="P8" s="109"/>
      <c r="Q8" s="110"/>
      <c r="R8" s="151"/>
      <c r="S8" s="167" t="str">
        <f t="shared" si="7"/>
        <v/>
      </c>
      <c r="T8" s="168" t="str">
        <f t="shared" si="8"/>
        <v/>
      </c>
      <c r="U8" s="154"/>
      <c r="V8" s="350" t="str">
        <f t="shared" si="9"/>
        <v/>
      </c>
      <c r="W8" s="351" t="str">
        <f t="shared" si="10"/>
        <v/>
      </c>
      <c r="X8" s="472" t="str">
        <f t="shared" ref="X8:X31" si="14">IF(ISBLANK(C8),"",VLOOKUP(C8,第5月ＴＡ,5,FALSE))</f>
        <v/>
      </c>
      <c r="Y8" s="170" t="str">
        <f t="shared" si="11"/>
        <v/>
      </c>
      <c r="Z8" s="159"/>
      <c r="AA8" s="171">
        <f t="shared" ref="AA8:AA30" si="15">IF(ISBLANK($B8),"",IFERROR(15*($P$3+1-$B8)/$P$3,"15.0"))</f>
        <v>14</v>
      </c>
      <c r="AB8" s="166">
        <f t="shared" ref="AB8:AB31" si="16">IF(ISBLANK($B8),"",IFERROR(20*($P$3+1-$B8)/$P$3,"20.0"))</f>
        <v>18.666666666666668</v>
      </c>
      <c r="AC8" s="166">
        <f t="shared" ref="AC8:AC30" si="17">IF(ISBLANK($B8),"",IFERROR(25*($P$3+1-$B8)/$P$3,"25.0"))</f>
        <v>23.333333333333332</v>
      </c>
      <c r="AD8" s="166">
        <f t="shared" ref="AD8:AD26" si="18">IF(ISBLANK($B8),"",IFERROR(30*($P$3+1-$B8)/$P$3,"30.0"))</f>
        <v>28</v>
      </c>
      <c r="AE8" s="441">
        <f t="shared" ref="AE8:AE31" si="19">IF(ISBLANK($B8),"",IFERROR(40*($P$3+1-$B8)/$P$3,"40.0"))</f>
        <v>37.333333333333336</v>
      </c>
    </row>
    <row r="9" spans="1:31" ht="15.5" x14ac:dyDescent="0.25">
      <c r="A9" s="71"/>
      <c r="B9" s="99">
        <v>3</v>
      </c>
      <c r="C9" s="100"/>
      <c r="D9" s="101" t="str">
        <f t="shared" si="0"/>
        <v/>
      </c>
      <c r="E9" s="321">
        <f t="shared" si="1"/>
        <v>0</v>
      </c>
      <c r="F9" s="102">
        <v>3</v>
      </c>
      <c r="G9" s="103"/>
      <c r="H9" s="100" t="str">
        <f t="shared" si="2"/>
        <v/>
      </c>
      <c r="I9" s="104" t="str">
        <f t="shared" si="12"/>
        <v/>
      </c>
      <c r="J9" s="102"/>
      <c r="K9" s="105" t="str">
        <f t="shared" si="3"/>
        <v/>
      </c>
      <c r="L9" s="103" t="str">
        <f t="shared" si="4"/>
        <v/>
      </c>
      <c r="M9" s="106" t="str">
        <f t="shared" si="5"/>
        <v/>
      </c>
      <c r="N9" s="107" t="str">
        <f t="shared" si="6"/>
        <v/>
      </c>
      <c r="O9" s="380">
        <f t="shared" si="13"/>
        <v>21.7</v>
      </c>
      <c r="P9" s="109"/>
      <c r="Q9" s="110"/>
      <c r="R9" s="151"/>
      <c r="S9" s="167" t="str">
        <f t="shared" si="7"/>
        <v/>
      </c>
      <c r="T9" s="168" t="str">
        <f t="shared" si="8"/>
        <v/>
      </c>
      <c r="U9" s="154"/>
      <c r="V9" s="350" t="str">
        <f t="shared" si="9"/>
        <v/>
      </c>
      <c r="W9" s="351" t="str">
        <f t="shared" si="10"/>
        <v/>
      </c>
      <c r="X9" s="472" t="str">
        <f t="shared" si="14"/>
        <v/>
      </c>
      <c r="Y9" s="170" t="str">
        <f t="shared" si="11"/>
        <v/>
      </c>
      <c r="Z9" s="159"/>
      <c r="AA9" s="171">
        <f t="shared" si="15"/>
        <v>13</v>
      </c>
      <c r="AB9" s="166">
        <f t="shared" si="16"/>
        <v>17.333333333333332</v>
      </c>
      <c r="AC9" s="166">
        <f t="shared" si="17"/>
        <v>21.666666666666668</v>
      </c>
      <c r="AD9" s="166">
        <f t="shared" si="18"/>
        <v>26</v>
      </c>
      <c r="AE9" s="441">
        <f t="shared" si="19"/>
        <v>34.666666666666664</v>
      </c>
    </row>
    <row r="10" spans="1:31" ht="15.5" x14ac:dyDescent="0.25">
      <c r="A10" s="71"/>
      <c r="B10" s="99">
        <v>4</v>
      </c>
      <c r="C10" s="100"/>
      <c r="D10" s="101" t="str">
        <f t="shared" si="0"/>
        <v/>
      </c>
      <c r="E10" s="321">
        <f t="shared" si="1"/>
        <v>0</v>
      </c>
      <c r="F10" s="325">
        <v>4</v>
      </c>
      <c r="G10" s="103"/>
      <c r="H10" s="100" t="str">
        <f t="shared" si="2"/>
        <v/>
      </c>
      <c r="I10" s="104" t="str">
        <f t="shared" si="12"/>
        <v/>
      </c>
      <c r="J10" s="176"/>
      <c r="K10" s="105" t="str">
        <f t="shared" si="3"/>
        <v/>
      </c>
      <c r="L10" s="103" t="str">
        <f t="shared" si="4"/>
        <v/>
      </c>
      <c r="M10" s="106" t="str">
        <f t="shared" si="5"/>
        <v/>
      </c>
      <c r="N10" s="107" t="str">
        <f t="shared" si="6"/>
        <v/>
      </c>
      <c r="O10" s="380">
        <f t="shared" si="13"/>
        <v>20</v>
      </c>
      <c r="P10" s="175"/>
      <c r="Q10" s="110"/>
      <c r="R10" s="151"/>
      <c r="S10" s="167" t="str">
        <f t="shared" si="7"/>
        <v/>
      </c>
      <c r="T10" s="168" t="str">
        <f t="shared" si="8"/>
        <v/>
      </c>
      <c r="U10" s="154"/>
      <c r="V10" s="350" t="str">
        <f t="shared" si="9"/>
        <v/>
      </c>
      <c r="W10" s="351" t="str">
        <f t="shared" si="10"/>
        <v/>
      </c>
      <c r="X10" s="472" t="str">
        <f t="shared" si="14"/>
        <v/>
      </c>
      <c r="Y10" s="170" t="str">
        <f t="shared" si="11"/>
        <v/>
      </c>
      <c r="Z10" s="159"/>
      <c r="AA10" s="171">
        <f t="shared" si="15"/>
        <v>12</v>
      </c>
      <c r="AB10" s="166">
        <f t="shared" si="16"/>
        <v>16</v>
      </c>
      <c r="AC10" s="166">
        <f t="shared" si="17"/>
        <v>20</v>
      </c>
      <c r="AD10" s="166">
        <f t="shared" si="18"/>
        <v>24</v>
      </c>
      <c r="AE10" s="441">
        <f t="shared" si="19"/>
        <v>32</v>
      </c>
    </row>
    <row r="11" spans="1:31" ht="15.5" x14ac:dyDescent="0.25">
      <c r="A11" s="71"/>
      <c r="B11" s="111">
        <v>5</v>
      </c>
      <c r="C11" s="112"/>
      <c r="D11" s="113" t="str">
        <f t="shared" si="0"/>
        <v/>
      </c>
      <c r="E11" s="322">
        <f t="shared" si="1"/>
        <v>0</v>
      </c>
      <c r="F11" s="114">
        <v>5</v>
      </c>
      <c r="G11" s="115"/>
      <c r="H11" s="116" t="str">
        <f t="shared" si="2"/>
        <v/>
      </c>
      <c r="I11" s="117" t="str">
        <f t="shared" si="12"/>
        <v/>
      </c>
      <c r="J11" s="118"/>
      <c r="K11" s="119" t="str">
        <f t="shared" si="3"/>
        <v/>
      </c>
      <c r="L11" s="120" t="str">
        <f t="shared" si="4"/>
        <v/>
      </c>
      <c r="M11" s="121" t="str">
        <f t="shared" si="5"/>
        <v/>
      </c>
      <c r="N11" s="122" t="str">
        <f t="shared" si="6"/>
        <v/>
      </c>
      <c r="O11" s="446">
        <f t="shared" si="13"/>
        <v>18.3</v>
      </c>
      <c r="P11" s="124"/>
      <c r="Q11" s="125"/>
      <c r="R11" s="151"/>
      <c r="S11" s="167" t="str">
        <f t="shared" si="7"/>
        <v/>
      </c>
      <c r="T11" s="168" t="str">
        <f t="shared" si="8"/>
        <v/>
      </c>
      <c r="U11" s="154"/>
      <c r="V11" s="350" t="str">
        <f t="shared" si="9"/>
        <v/>
      </c>
      <c r="W11" s="351" t="str">
        <f t="shared" si="10"/>
        <v/>
      </c>
      <c r="X11" s="472" t="str">
        <f t="shared" si="14"/>
        <v/>
      </c>
      <c r="Y11" s="170" t="str">
        <f t="shared" si="11"/>
        <v/>
      </c>
      <c r="Z11" s="159"/>
      <c r="AA11" s="171">
        <f t="shared" si="15"/>
        <v>11</v>
      </c>
      <c r="AB11" s="166">
        <f t="shared" si="16"/>
        <v>14.666666666666666</v>
      </c>
      <c r="AC11" s="166">
        <f t="shared" si="17"/>
        <v>18.333333333333332</v>
      </c>
      <c r="AD11" s="166">
        <f t="shared" si="18"/>
        <v>22</v>
      </c>
      <c r="AE11" s="441">
        <f t="shared" si="19"/>
        <v>29.333333333333332</v>
      </c>
    </row>
    <row r="12" spans="1:31" ht="15.5" x14ac:dyDescent="0.25">
      <c r="A12" s="71"/>
      <c r="B12" s="88">
        <v>6</v>
      </c>
      <c r="C12" s="89"/>
      <c r="D12" s="145" t="str">
        <f t="shared" si="0"/>
        <v/>
      </c>
      <c r="E12" s="320">
        <f t="shared" si="1"/>
        <v>0</v>
      </c>
      <c r="F12" s="91">
        <v>6</v>
      </c>
      <c r="G12" s="92"/>
      <c r="H12" s="89" t="str">
        <f t="shared" si="2"/>
        <v/>
      </c>
      <c r="I12" s="93" t="str">
        <f t="shared" si="12"/>
        <v/>
      </c>
      <c r="J12" s="91"/>
      <c r="K12" s="94" t="str">
        <f t="shared" si="3"/>
        <v/>
      </c>
      <c r="L12" s="92" t="str">
        <f t="shared" si="4"/>
        <v/>
      </c>
      <c r="M12" s="95" t="str">
        <f t="shared" si="5"/>
        <v/>
      </c>
      <c r="N12" s="96" t="str">
        <f t="shared" si="6"/>
        <v/>
      </c>
      <c r="O12" s="445">
        <f t="shared" si="13"/>
        <v>16.7</v>
      </c>
      <c r="P12" s="71"/>
      <c r="Q12" s="98"/>
      <c r="R12" s="151"/>
      <c r="S12" s="167" t="str">
        <f t="shared" si="7"/>
        <v/>
      </c>
      <c r="T12" s="168" t="str">
        <f t="shared" si="8"/>
        <v/>
      </c>
      <c r="U12" s="154"/>
      <c r="V12" s="350" t="str">
        <f t="shared" si="9"/>
        <v/>
      </c>
      <c r="W12" s="351" t="str">
        <f t="shared" si="10"/>
        <v/>
      </c>
      <c r="X12" s="472" t="str">
        <f t="shared" si="14"/>
        <v/>
      </c>
      <c r="Y12" s="170" t="str">
        <f t="shared" si="11"/>
        <v/>
      </c>
      <c r="Z12" s="159"/>
      <c r="AA12" s="171">
        <f t="shared" si="15"/>
        <v>10</v>
      </c>
      <c r="AB12" s="166">
        <f t="shared" si="16"/>
        <v>13.333333333333334</v>
      </c>
      <c r="AC12" s="166">
        <f t="shared" si="17"/>
        <v>16.666666666666668</v>
      </c>
      <c r="AD12" s="166">
        <f t="shared" si="18"/>
        <v>20</v>
      </c>
      <c r="AE12" s="441">
        <f t="shared" si="19"/>
        <v>26.666666666666668</v>
      </c>
    </row>
    <row r="13" spans="1:31" ht="15.5" x14ac:dyDescent="0.25">
      <c r="A13" s="71"/>
      <c r="B13" s="99">
        <v>7</v>
      </c>
      <c r="C13" s="100"/>
      <c r="D13" s="101" t="str">
        <f t="shared" si="0"/>
        <v/>
      </c>
      <c r="E13" s="321">
        <f t="shared" si="1"/>
        <v>0</v>
      </c>
      <c r="F13" s="102">
        <v>7</v>
      </c>
      <c r="G13" s="103"/>
      <c r="H13" s="100" t="str">
        <f t="shared" si="2"/>
        <v/>
      </c>
      <c r="I13" s="104" t="str">
        <f t="shared" si="12"/>
        <v/>
      </c>
      <c r="J13" s="102"/>
      <c r="K13" s="105" t="str">
        <f t="shared" si="3"/>
        <v/>
      </c>
      <c r="L13" s="103" t="str">
        <f t="shared" si="4"/>
        <v/>
      </c>
      <c r="M13" s="106" t="str">
        <f t="shared" si="5"/>
        <v/>
      </c>
      <c r="N13" s="107" t="str">
        <f t="shared" si="6"/>
        <v/>
      </c>
      <c r="O13" s="380">
        <f t="shared" si="13"/>
        <v>15</v>
      </c>
      <c r="P13" s="142"/>
      <c r="Q13" s="110"/>
      <c r="R13" s="151"/>
      <c r="S13" s="167" t="str">
        <f t="shared" si="7"/>
        <v/>
      </c>
      <c r="T13" s="168" t="str">
        <f t="shared" si="8"/>
        <v/>
      </c>
      <c r="U13" s="154"/>
      <c r="V13" s="350" t="str">
        <f t="shared" si="9"/>
        <v/>
      </c>
      <c r="W13" s="351" t="str">
        <f t="shared" si="10"/>
        <v/>
      </c>
      <c r="X13" s="472" t="str">
        <f t="shared" si="14"/>
        <v/>
      </c>
      <c r="Y13" s="170" t="str">
        <f t="shared" si="11"/>
        <v/>
      </c>
      <c r="Z13" s="159"/>
      <c r="AA13" s="171">
        <f t="shared" si="15"/>
        <v>9</v>
      </c>
      <c r="AB13" s="166">
        <f t="shared" si="16"/>
        <v>12</v>
      </c>
      <c r="AC13" s="166">
        <f t="shared" si="17"/>
        <v>15</v>
      </c>
      <c r="AD13" s="166">
        <f t="shared" si="18"/>
        <v>18</v>
      </c>
      <c r="AE13" s="441">
        <f t="shared" si="19"/>
        <v>24</v>
      </c>
    </row>
    <row r="14" spans="1:31" ht="15.5" x14ac:dyDescent="0.25">
      <c r="A14" s="71"/>
      <c r="B14" s="99">
        <v>8</v>
      </c>
      <c r="C14" s="100"/>
      <c r="D14" s="101" t="str">
        <f t="shared" si="0"/>
        <v/>
      </c>
      <c r="E14" s="321">
        <f t="shared" si="1"/>
        <v>0</v>
      </c>
      <c r="F14" s="102">
        <v>8</v>
      </c>
      <c r="G14" s="103"/>
      <c r="H14" s="100" t="str">
        <f t="shared" si="2"/>
        <v/>
      </c>
      <c r="I14" s="104" t="str">
        <f t="shared" si="12"/>
        <v/>
      </c>
      <c r="J14" s="102"/>
      <c r="K14" s="105" t="str">
        <f t="shared" si="3"/>
        <v/>
      </c>
      <c r="L14" s="103" t="str">
        <f t="shared" si="4"/>
        <v/>
      </c>
      <c r="M14" s="106" t="str">
        <f t="shared" si="5"/>
        <v/>
      </c>
      <c r="N14" s="107" t="str">
        <f t="shared" si="6"/>
        <v/>
      </c>
      <c r="O14" s="380">
        <f t="shared" si="13"/>
        <v>13.3</v>
      </c>
      <c r="P14" s="109"/>
      <c r="Q14" s="110"/>
      <c r="R14" s="151"/>
      <c r="S14" s="167" t="str">
        <f t="shared" si="7"/>
        <v/>
      </c>
      <c r="T14" s="168" t="str">
        <f t="shared" si="8"/>
        <v/>
      </c>
      <c r="U14" s="154"/>
      <c r="V14" s="350" t="str">
        <f t="shared" si="9"/>
        <v/>
      </c>
      <c r="W14" s="351" t="str">
        <f t="shared" si="10"/>
        <v/>
      </c>
      <c r="X14" s="472" t="str">
        <f t="shared" si="14"/>
        <v/>
      </c>
      <c r="Y14" s="170" t="str">
        <f t="shared" si="11"/>
        <v/>
      </c>
      <c r="Z14" s="159"/>
      <c r="AA14" s="171">
        <f t="shared" si="15"/>
        <v>8</v>
      </c>
      <c r="AB14" s="166">
        <f t="shared" si="16"/>
        <v>10.666666666666666</v>
      </c>
      <c r="AC14" s="166">
        <f t="shared" si="17"/>
        <v>13.333333333333334</v>
      </c>
      <c r="AD14" s="166">
        <f t="shared" si="18"/>
        <v>16</v>
      </c>
      <c r="AE14" s="441">
        <f t="shared" si="19"/>
        <v>21.333333333333332</v>
      </c>
    </row>
    <row r="15" spans="1:31" ht="15.5" x14ac:dyDescent="0.25">
      <c r="A15" s="71"/>
      <c r="B15" s="99">
        <v>9</v>
      </c>
      <c r="C15" s="100"/>
      <c r="D15" s="101" t="str">
        <f t="shared" si="0"/>
        <v/>
      </c>
      <c r="E15" s="321">
        <f t="shared" si="1"/>
        <v>0</v>
      </c>
      <c r="F15" s="102">
        <v>9</v>
      </c>
      <c r="G15" s="103"/>
      <c r="H15" s="100" t="str">
        <f t="shared" si="2"/>
        <v/>
      </c>
      <c r="I15" s="104" t="str">
        <f t="shared" si="12"/>
        <v/>
      </c>
      <c r="J15" s="102"/>
      <c r="K15" s="105" t="str">
        <f t="shared" si="3"/>
        <v/>
      </c>
      <c r="L15" s="103" t="str">
        <f t="shared" si="4"/>
        <v/>
      </c>
      <c r="M15" s="106" t="str">
        <f t="shared" si="5"/>
        <v/>
      </c>
      <c r="N15" s="107" t="str">
        <f t="shared" si="6"/>
        <v/>
      </c>
      <c r="O15" s="380">
        <f t="shared" si="13"/>
        <v>11.7</v>
      </c>
      <c r="P15" s="142"/>
      <c r="Q15" s="110"/>
      <c r="R15" s="151"/>
      <c r="S15" s="167" t="str">
        <f t="shared" si="7"/>
        <v/>
      </c>
      <c r="T15" s="168" t="str">
        <f t="shared" si="8"/>
        <v/>
      </c>
      <c r="U15" s="154"/>
      <c r="V15" s="350" t="str">
        <f t="shared" si="9"/>
        <v/>
      </c>
      <c r="W15" s="351" t="str">
        <f t="shared" si="10"/>
        <v/>
      </c>
      <c r="X15" s="472" t="str">
        <f t="shared" si="14"/>
        <v/>
      </c>
      <c r="Y15" s="170" t="str">
        <f t="shared" si="11"/>
        <v/>
      </c>
      <c r="Z15" s="159"/>
      <c r="AA15" s="171">
        <f t="shared" si="15"/>
        <v>7</v>
      </c>
      <c r="AB15" s="166">
        <f t="shared" si="16"/>
        <v>9.3333333333333339</v>
      </c>
      <c r="AC15" s="166">
        <f t="shared" si="17"/>
        <v>11.666666666666666</v>
      </c>
      <c r="AD15" s="166">
        <f t="shared" si="18"/>
        <v>14</v>
      </c>
      <c r="AE15" s="441">
        <f t="shared" si="19"/>
        <v>18.666666666666668</v>
      </c>
    </row>
    <row r="16" spans="1:31" ht="15.5" x14ac:dyDescent="0.25">
      <c r="A16" s="71"/>
      <c r="B16" s="111">
        <v>10</v>
      </c>
      <c r="C16" s="112"/>
      <c r="D16" s="113" t="str">
        <f t="shared" si="0"/>
        <v/>
      </c>
      <c r="E16" s="322">
        <f t="shared" si="1"/>
        <v>0</v>
      </c>
      <c r="F16" s="114">
        <v>10</v>
      </c>
      <c r="G16" s="115"/>
      <c r="H16" s="112" t="str">
        <f t="shared" si="2"/>
        <v/>
      </c>
      <c r="I16" s="126" t="str">
        <f t="shared" si="12"/>
        <v/>
      </c>
      <c r="J16" s="127"/>
      <c r="K16" s="128" t="str">
        <f t="shared" si="3"/>
        <v/>
      </c>
      <c r="L16" s="115" t="str">
        <f t="shared" si="4"/>
        <v/>
      </c>
      <c r="M16" s="129" t="str">
        <f t="shared" si="5"/>
        <v/>
      </c>
      <c r="N16" s="130" t="str">
        <f t="shared" si="6"/>
        <v/>
      </c>
      <c r="O16" s="446">
        <f t="shared" si="13"/>
        <v>10</v>
      </c>
      <c r="P16" s="177"/>
      <c r="Q16" s="125"/>
      <c r="R16" s="151"/>
      <c r="S16" s="167" t="str">
        <f t="shared" si="7"/>
        <v/>
      </c>
      <c r="T16" s="168" t="str">
        <f t="shared" si="8"/>
        <v/>
      </c>
      <c r="U16" s="154"/>
      <c r="V16" s="350" t="str">
        <f t="shared" si="9"/>
        <v/>
      </c>
      <c r="W16" s="351" t="str">
        <f t="shared" si="10"/>
        <v/>
      </c>
      <c r="X16" s="472" t="str">
        <f t="shared" si="14"/>
        <v/>
      </c>
      <c r="Y16" s="170" t="str">
        <f t="shared" si="11"/>
        <v/>
      </c>
      <c r="Z16" s="159"/>
      <c r="AA16" s="171">
        <f t="shared" si="15"/>
        <v>6</v>
      </c>
      <c r="AB16" s="166">
        <f t="shared" si="16"/>
        <v>8</v>
      </c>
      <c r="AC16" s="166">
        <f t="shared" si="17"/>
        <v>10</v>
      </c>
      <c r="AD16" s="166">
        <f t="shared" si="18"/>
        <v>12</v>
      </c>
      <c r="AE16" s="441">
        <f t="shared" si="19"/>
        <v>16</v>
      </c>
    </row>
    <row r="17" spans="1:31" ht="15.5" x14ac:dyDescent="0.25">
      <c r="A17" s="71"/>
      <c r="B17" s="88">
        <v>11</v>
      </c>
      <c r="C17" s="89"/>
      <c r="D17" s="145" t="str">
        <f t="shared" si="0"/>
        <v/>
      </c>
      <c r="E17" s="320">
        <f t="shared" si="1"/>
        <v>0</v>
      </c>
      <c r="F17" s="91">
        <v>11</v>
      </c>
      <c r="G17" s="92"/>
      <c r="H17" s="89" t="str">
        <f t="shared" ref="H17:H26" si="20">IFERROR(IF(G17-$Q$2&lt;=0,"",(G17-$Q$2)*86400),"")</f>
        <v/>
      </c>
      <c r="I17" s="93" t="str">
        <f t="shared" si="12"/>
        <v/>
      </c>
      <c r="J17" s="91"/>
      <c r="K17" s="94" t="str">
        <f t="shared" ref="K17:K26" si="21">IFERROR(H17*(1+0.01*J17)-I17*$N$3,"")</f>
        <v/>
      </c>
      <c r="L17" s="92" t="str">
        <f t="shared" ref="L17:L26" si="22">IFERROR((K17-$K$7)/86400,"")</f>
        <v/>
      </c>
      <c r="M17" s="95" t="str">
        <f t="shared" ref="M17:M26" si="23">IFERROR((K17-$K$7)/$N$3,"")</f>
        <v/>
      </c>
      <c r="N17" s="96" t="str">
        <f t="shared" ref="N17:N26" si="24">IFERROR($N$3/(H17/3600),"")</f>
        <v/>
      </c>
      <c r="O17" s="445">
        <f t="shared" si="13"/>
        <v>8.3000000000000007</v>
      </c>
      <c r="P17" s="178"/>
      <c r="Q17" s="98"/>
      <c r="R17" s="151"/>
      <c r="S17" s="167" t="str">
        <f t="shared" si="7"/>
        <v/>
      </c>
      <c r="T17" s="168" t="str">
        <f t="shared" si="8"/>
        <v/>
      </c>
      <c r="U17" s="154"/>
      <c r="V17" s="350" t="str">
        <f t="shared" si="9"/>
        <v/>
      </c>
      <c r="W17" s="351" t="str">
        <f t="shared" si="10"/>
        <v/>
      </c>
      <c r="X17" s="472" t="str">
        <f t="shared" si="14"/>
        <v/>
      </c>
      <c r="Y17" s="170" t="str">
        <f t="shared" si="11"/>
        <v/>
      </c>
      <c r="Z17" s="159"/>
      <c r="AA17" s="171">
        <f t="shared" si="15"/>
        <v>5</v>
      </c>
      <c r="AB17" s="166">
        <f t="shared" si="16"/>
        <v>6.666666666666667</v>
      </c>
      <c r="AC17" s="166">
        <f t="shared" si="17"/>
        <v>8.3333333333333339</v>
      </c>
      <c r="AD17" s="166">
        <f t="shared" si="18"/>
        <v>10</v>
      </c>
      <c r="AE17" s="441">
        <f t="shared" si="19"/>
        <v>13.333333333333334</v>
      </c>
    </row>
    <row r="18" spans="1:31" ht="15.5" x14ac:dyDescent="0.25">
      <c r="A18" s="71"/>
      <c r="B18" s="99">
        <v>12</v>
      </c>
      <c r="C18" s="100"/>
      <c r="D18" s="101" t="str">
        <f t="shared" si="0"/>
        <v/>
      </c>
      <c r="E18" s="321">
        <f t="shared" si="1"/>
        <v>0</v>
      </c>
      <c r="F18" s="325">
        <v>12</v>
      </c>
      <c r="G18" s="103"/>
      <c r="H18" s="100" t="str">
        <f t="shared" si="20"/>
        <v/>
      </c>
      <c r="I18" s="104" t="str">
        <f t="shared" si="12"/>
        <v/>
      </c>
      <c r="J18" s="102"/>
      <c r="K18" s="105" t="str">
        <f t="shared" si="21"/>
        <v/>
      </c>
      <c r="L18" s="103" t="str">
        <f t="shared" si="22"/>
        <v/>
      </c>
      <c r="M18" s="106" t="str">
        <f t="shared" si="23"/>
        <v/>
      </c>
      <c r="N18" s="107" t="str">
        <f t="shared" si="24"/>
        <v/>
      </c>
      <c r="O18" s="380">
        <f t="shared" si="13"/>
        <v>6.7</v>
      </c>
      <c r="P18" s="142"/>
      <c r="Q18" s="110"/>
      <c r="R18" s="151"/>
      <c r="S18" s="167" t="str">
        <f t="shared" si="7"/>
        <v/>
      </c>
      <c r="T18" s="168" t="str">
        <f t="shared" si="8"/>
        <v/>
      </c>
      <c r="U18" s="154"/>
      <c r="V18" s="350" t="str">
        <f t="shared" si="9"/>
        <v/>
      </c>
      <c r="W18" s="351" t="str">
        <f t="shared" si="10"/>
        <v/>
      </c>
      <c r="X18" s="472" t="str">
        <f t="shared" si="14"/>
        <v/>
      </c>
      <c r="Y18" s="170" t="str">
        <f t="shared" si="11"/>
        <v/>
      </c>
      <c r="Z18" s="159"/>
      <c r="AA18" s="171">
        <f t="shared" si="15"/>
        <v>4</v>
      </c>
      <c r="AB18" s="166">
        <f t="shared" si="16"/>
        <v>5.333333333333333</v>
      </c>
      <c r="AC18" s="166">
        <f t="shared" si="17"/>
        <v>6.666666666666667</v>
      </c>
      <c r="AD18" s="166">
        <f t="shared" si="18"/>
        <v>8</v>
      </c>
      <c r="AE18" s="441">
        <f t="shared" si="19"/>
        <v>10.666666666666666</v>
      </c>
    </row>
    <row r="19" spans="1:31" ht="15.5" x14ac:dyDescent="0.25">
      <c r="A19" s="71"/>
      <c r="B19" s="99">
        <v>13</v>
      </c>
      <c r="C19" s="100"/>
      <c r="D19" s="101" t="str">
        <f t="shared" si="0"/>
        <v/>
      </c>
      <c r="E19" s="321">
        <f t="shared" si="1"/>
        <v>0</v>
      </c>
      <c r="F19" s="325">
        <v>13</v>
      </c>
      <c r="G19" s="103"/>
      <c r="H19" s="100" t="str">
        <f t="shared" si="20"/>
        <v/>
      </c>
      <c r="I19" s="104" t="str">
        <f t="shared" si="12"/>
        <v/>
      </c>
      <c r="J19" s="102"/>
      <c r="K19" s="105" t="str">
        <f t="shared" si="21"/>
        <v/>
      </c>
      <c r="L19" s="103" t="str">
        <f t="shared" si="22"/>
        <v/>
      </c>
      <c r="M19" s="106" t="str">
        <f t="shared" si="23"/>
        <v/>
      </c>
      <c r="N19" s="107" t="str">
        <f t="shared" si="24"/>
        <v/>
      </c>
      <c r="O19" s="380">
        <f t="shared" si="13"/>
        <v>5</v>
      </c>
      <c r="P19" s="142"/>
      <c r="Q19" s="110"/>
      <c r="R19" s="151"/>
      <c r="S19" s="167" t="str">
        <f t="shared" si="7"/>
        <v/>
      </c>
      <c r="T19" s="168" t="str">
        <f t="shared" si="8"/>
        <v/>
      </c>
      <c r="U19" s="154"/>
      <c r="V19" s="350" t="str">
        <f t="shared" si="9"/>
        <v/>
      </c>
      <c r="W19" s="351" t="str">
        <f t="shared" si="10"/>
        <v/>
      </c>
      <c r="X19" s="472" t="str">
        <f t="shared" si="14"/>
        <v/>
      </c>
      <c r="Y19" s="170" t="str">
        <f t="shared" si="11"/>
        <v/>
      </c>
      <c r="Z19" s="159"/>
      <c r="AA19" s="171">
        <f t="shared" si="15"/>
        <v>3</v>
      </c>
      <c r="AB19" s="166">
        <f t="shared" si="16"/>
        <v>4</v>
      </c>
      <c r="AC19" s="166">
        <f t="shared" si="17"/>
        <v>5</v>
      </c>
      <c r="AD19" s="166">
        <f t="shared" si="18"/>
        <v>6</v>
      </c>
      <c r="AE19" s="441">
        <f t="shared" si="19"/>
        <v>8</v>
      </c>
    </row>
    <row r="20" spans="1:31" ht="15.5" x14ac:dyDescent="0.25">
      <c r="A20" s="71"/>
      <c r="B20" s="99">
        <v>14</v>
      </c>
      <c r="C20" s="100"/>
      <c r="D20" s="101" t="str">
        <f t="shared" si="0"/>
        <v/>
      </c>
      <c r="E20" s="321">
        <f t="shared" si="1"/>
        <v>0</v>
      </c>
      <c r="F20" s="102">
        <v>14</v>
      </c>
      <c r="G20" s="103"/>
      <c r="H20" s="100" t="str">
        <f t="shared" si="20"/>
        <v/>
      </c>
      <c r="I20" s="104" t="str">
        <f t="shared" si="12"/>
        <v/>
      </c>
      <c r="J20" s="102"/>
      <c r="K20" s="105" t="str">
        <f t="shared" si="21"/>
        <v/>
      </c>
      <c r="L20" s="103" t="str">
        <f t="shared" si="22"/>
        <v/>
      </c>
      <c r="M20" s="106" t="str">
        <f t="shared" si="23"/>
        <v/>
      </c>
      <c r="N20" s="107" t="str">
        <f t="shared" si="24"/>
        <v/>
      </c>
      <c r="O20" s="380">
        <f t="shared" si="13"/>
        <v>3.3</v>
      </c>
      <c r="P20" s="178"/>
      <c r="Q20" s="110"/>
      <c r="R20" s="151"/>
      <c r="S20" s="167" t="str">
        <f t="shared" si="7"/>
        <v/>
      </c>
      <c r="T20" s="168" t="str">
        <f t="shared" si="8"/>
        <v/>
      </c>
      <c r="U20" s="154"/>
      <c r="V20" s="350" t="str">
        <f t="shared" si="9"/>
        <v/>
      </c>
      <c r="W20" s="351" t="str">
        <f t="shared" si="10"/>
        <v/>
      </c>
      <c r="X20" s="472" t="str">
        <f t="shared" si="14"/>
        <v/>
      </c>
      <c r="Y20" s="170" t="str">
        <f t="shared" si="11"/>
        <v/>
      </c>
      <c r="Z20" s="159"/>
      <c r="AA20" s="171">
        <f t="shared" si="15"/>
        <v>2</v>
      </c>
      <c r="AB20" s="166">
        <f t="shared" si="16"/>
        <v>2.6666666666666665</v>
      </c>
      <c r="AC20" s="166">
        <f t="shared" si="17"/>
        <v>3.3333333333333335</v>
      </c>
      <c r="AD20" s="166">
        <f t="shared" si="18"/>
        <v>4</v>
      </c>
      <c r="AE20" s="441">
        <f t="shared" si="19"/>
        <v>5.333333333333333</v>
      </c>
    </row>
    <row r="21" spans="1:31" ht="15.5" x14ac:dyDescent="0.25">
      <c r="A21" s="71"/>
      <c r="B21" s="111">
        <v>15</v>
      </c>
      <c r="C21" s="112"/>
      <c r="D21" s="113" t="str">
        <f t="shared" si="0"/>
        <v/>
      </c>
      <c r="E21" s="322">
        <f t="shared" ref="E21" si="25">IF($I$6="Ⅰ",S21,IF($I$6="Ⅱ",T21,IF($I$6="Ⅲ",U21,"")))</f>
        <v>0</v>
      </c>
      <c r="F21" s="326">
        <v>15</v>
      </c>
      <c r="G21" s="115"/>
      <c r="H21" s="112" t="str">
        <f t="shared" si="20"/>
        <v/>
      </c>
      <c r="I21" s="126" t="str">
        <f t="shared" si="12"/>
        <v/>
      </c>
      <c r="J21" s="127"/>
      <c r="K21" s="128" t="str">
        <f t="shared" si="21"/>
        <v/>
      </c>
      <c r="L21" s="115" t="str">
        <f t="shared" si="22"/>
        <v/>
      </c>
      <c r="M21" s="129" t="str">
        <f t="shared" si="23"/>
        <v/>
      </c>
      <c r="N21" s="130" t="str">
        <f t="shared" si="24"/>
        <v/>
      </c>
      <c r="O21" s="446">
        <f t="shared" si="13"/>
        <v>1.7</v>
      </c>
      <c r="P21" s="177"/>
      <c r="Q21" s="125"/>
      <c r="R21" s="151"/>
      <c r="S21" s="167" t="str">
        <f t="shared" si="7"/>
        <v/>
      </c>
      <c r="T21" s="168" t="str">
        <f t="shared" si="8"/>
        <v/>
      </c>
      <c r="U21" s="154"/>
      <c r="V21" s="350" t="str">
        <f t="shared" si="9"/>
        <v/>
      </c>
      <c r="W21" s="351" t="str">
        <f t="shared" si="10"/>
        <v/>
      </c>
      <c r="X21" s="472" t="str">
        <f t="shared" si="14"/>
        <v/>
      </c>
      <c r="Y21" s="170" t="str">
        <f t="shared" si="11"/>
        <v/>
      </c>
      <c r="Z21" s="159"/>
      <c r="AA21" s="171">
        <f t="shared" si="15"/>
        <v>1</v>
      </c>
      <c r="AB21" s="166">
        <f t="shared" si="16"/>
        <v>1.3333333333333333</v>
      </c>
      <c r="AC21" s="166">
        <f t="shared" si="17"/>
        <v>1.6666666666666667</v>
      </c>
      <c r="AD21" s="166">
        <f t="shared" si="18"/>
        <v>2</v>
      </c>
      <c r="AE21" s="441">
        <f t="shared" si="19"/>
        <v>2.6666666666666665</v>
      </c>
    </row>
    <row r="22" spans="1:31" ht="15.5" x14ac:dyDescent="0.25">
      <c r="A22" s="71"/>
      <c r="B22" s="140"/>
      <c r="C22" s="182"/>
      <c r="D22" s="145"/>
      <c r="E22" s="320"/>
      <c r="F22" s="327"/>
      <c r="G22" s="92"/>
      <c r="H22" s="89" t="str">
        <f t="shared" si="20"/>
        <v/>
      </c>
      <c r="I22" s="93" t="str">
        <f t="shared" si="12"/>
        <v/>
      </c>
      <c r="J22" s="91"/>
      <c r="K22" s="94" t="str">
        <f t="shared" si="21"/>
        <v/>
      </c>
      <c r="L22" s="92" t="str">
        <f t="shared" si="22"/>
        <v/>
      </c>
      <c r="M22" s="95" t="str">
        <f t="shared" si="23"/>
        <v/>
      </c>
      <c r="N22" s="96" t="str">
        <f t="shared" si="24"/>
        <v/>
      </c>
      <c r="O22" s="445" t="e">
        <f t="shared" si="13"/>
        <v>#VALUE!</v>
      </c>
      <c r="P22" s="183"/>
      <c r="Q22" s="141"/>
      <c r="R22" s="151"/>
      <c r="S22" s="167" t="str">
        <f t="shared" si="7"/>
        <v/>
      </c>
      <c r="T22" s="168" t="str">
        <f t="shared" si="8"/>
        <v/>
      </c>
      <c r="U22" s="154"/>
      <c r="V22" s="350" t="str">
        <f t="shared" si="9"/>
        <v/>
      </c>
      <c r="W22" s="351" t="str">
        <f t="shared" si="10"/>
        <v/>
      </c>
      <c r="X22" s="472" t="str">
        <f t="shared" si="14"/>
        <v/>
      </c>
      <c r="Y22" s="170" t="str">
        <f t="shared" si="11"/>
        <v/>
      </c>
      <c r="Z22" s="159"/>
      <c r="AA22" s="171" t="str">
        <f t="shared" si="15"/>
        <v/>
      </c>
      <c r="AB22" s="166" t="str">
        <f t="shared" si="16"/>
        <v/>
      </c>
      <c r="AC22" s="166" t="str">
        <f t="shared" si="17"/>
        <v/>
      </c>
      <c r="AD22" s="166" t="str">
        <f t="shared" si="18"/>
        <v/>
      </c>
      <c r="AE22" s="441" t="str">
        <f t="shared" si="19"/>
        <v/>
      </c>
    </row>
    <row r="23" spans="1:31" ht="15.5" x14ac:dyDescent="0.25">
      <c r="A23" s="71"/>
      <c r="B23" s="99"/>
      <c r="C23" s="100"/>
      <c r="D23" s="101"/>
      <c r="E23" s="321"/>
      <c r="F23" s="325"/>
      <c r="G23" s="103"/>
      <c r="H23" s="100" t="str">
        <f t="shared" si="20"/>
        <v/>
      </c>
      <c r="I23" s="445" t="str">
        <f t="shared" si="12"/>
        <v/>
      </c>
      <c r="J23" s="102"/>
      <c r="K23" s="105" t="str">
        <f t="shared" si="21"/>
        <v/>
      </c>
      <c r="L23" s="103" t="str">
        <f t="shared" si="22"/>
        <v/>
      </c>
      <c r="M23" s="106" t="str">
        <f t="shared" si="23"/>
        <v/>
      </c>
      <c r="N23" s="107" t="str">
        <f t="shared" si="24"/>
        <v/>
      </c>
      <c r="O23" s="380" t="e">
        <f t="shared" si="13"/>
        <v>#VALUE!</v>
      </c>
      <c r="P23" s="142"/>
      <c r="Q23" s="110"/>
      <c r="R23" s="151"/>
      <c r="S23" s="167" t="str">
        <f t="shared" si="7"/>
        <v/>
      </c>
      <c r="T23" s="168" t="str">
        <f t="shared" si="8"/>
        <v/>
      </c>
      <c r="U23" s="154"/>
      <c r="V23" s="350" t="str">
        <f t="shared" si="9"/>
        <v/>
      </c>
      <c r="W23" s="351" t="str">
        <f t="shared" si="10"/>
        <v/>
      </c>
      <c r="X23" s="472" t="str">
        <f t="shared" si="14"/>
        <v/>
      </c>
      <c r="Y23" s="170" t="str">
        <f t="shared" si="11"/>
        <v/>
      </c>
      <c r="Z23" s="159"/>
      <c r="AA23" s="171" t="str">
        <f t="shared" si="15"/>
        <v/>
      </c>
      <c r="AB23" s="166" t="str">
        <f t="shared" si="16"/>
        <v/>
      </c>
      <c r="AC23" s="166" t="str">
        <f t="shared" si="17"/>
        <v/>
      </c>
      <c r="AD23" s="166" t="str">
        <f t="shared" si="18"/>
        <v/>
      </c>
      <c r="AE23" s="441" t="str">
        <f t="shared" si="19"/>
        <v/>
      </c>
    </row>
    <row r="24" spans="1:31" ht="15.5" x14ac:dyDescent="0.25">
      <c r="A24" s="71"/>
      <c r="B24" s="140"/>
      <c r="C24" s="100"/>
      <c r="D24" s="101"/>
      <c r="E24" s="321"/>
      <c r="F24" s="102"/>
      <c r="G24" s="103"/>
      <c r="H24" s="100" t="str">
        <f t="shared" si="20"/>
        <v/>
      </c>
      <c r="I24" s="380" t="str">
        <f t="shared" si="12"/>
        <v/>
      </c>
      <c r="J24" s="102"/>
      <c r="K24" s="105" t="str">
        <f t="shared" si="21"/>
        <v/>
      </c>
      <c r="L24" s="103" t="str">
        <f t="shared" si="22"/>
        <v/>
      </c>
      <c r="M24" s="106" t="str">
        <f t="shared" si="23"/>
        <v/>
      </c>
      <c r="N24" s="107" t="str">
        <f t="shared" si="24"/>
        <v/>
      </c>
      <c r="O24" s="380" t="e">
        <f t="shared" si="13"/>
        <v>#VALUE!</v>
      </c>
      <c r="P24" s="143"/>
      <c r="Q24" s="110"/>
      <c r="R24" s="151"/>
      <c r="S24" s="167" t="str">
        <f t="shared" si="7"/>
        <v/>
      </c>
      <c r="T24" s="168" t="str">
        <f t="shared" si="8"/>
        <v/>
      </c>
      <c r="U24" s="154"/>
      <c r="V24" s="350" t="str">
        <f t="shared" si="9"/>
        <v/>
      </c>
      <c r="W24" s="351" t="str">
        <f t="shared" si="10"/>
        <v/>
      </c>
      <c r="X24" s="472" t="str">
        <f t="shared" si="14"/>
        <v/>
      </c>
      <c r="Y24" s="170" t="str">
        <f t="shared" si="11"/>
        <v/>
      </c>
      <c r="Z24" s="159"/>
      <c r="AA24" s="171" t="str">
        <f t="shared" si="15"/>
        <v/>
      </c>
      <c r="AB24" s="166" t="str">
        <f t="shared" si="16"/>
        <v/>
      </c>
      <c r="AC24" s="166" t="str">
        <f t="shared" si="17"/>
        <v/>
      </c>
      <c r="AD24" s="166" t="str">
        <f t="shared" si="18"/>
        <v/>
      </c>
      <c r="AE24" s="441" t="str">
        <f t="shared" si="19"/>
        <v/>
      </c>
    </row>
    <row r="25" spans="1:31" ht="15.5" x14ac:dyDescent="0.25">
      <c r="A25" s="71"/>
      <c r="B25" s="99"/>
      <c r="C25" s="100"/>
      <c r="D25" s="101"/>
      <c r="E25" s="321"/>
      <c r="F25" s="102"/>
      <c r="G25" s="103"/>
      <c r="H25" s="100" t="str">
        <f t="shared" si="20"/>
        <v/>
      </c>
      <c r="I25" s="380" t="str">
        <f t="shared" si="12"/>
        <v/>
      </c>
      <c r="J25" s="102"/>
      <c r="K25" s="105" t="str">
        <f t="shared" si="21"/>
        <v/>
      </c>
      <c r="L25" s="103" t="str">
        <f t="shared" si="22"/>
        <v/>
      </c>
      <c r="M25" s="106" t="str">
        <f t="shared" si="23"/>
        <v/>
      </c>
      <c r="N25" s="107" t="str">
        <f t="shared" si="24"/>
        <v/>
      </c>
      <c r="O25" s="380" t="e">
        <f t="shared" si="13"/>
        <v>#VALUE!</v>
      </c>
      <c r="P25" s="143"/>
      <c r="Q25" s="110"/>
      <c r="R25" s="151"/>
      <c r="S25" s="167" t="str">
        <f t="shared" si="7"/>
        <v/>
      </c>
      <c r="T25" s="168" t="str">
        <f t="shared" si="8"/>
        <v/>
      </c>
      <c r="U25" s="154"/>
      <c r="V25" s="350" t="str">
        <f t="shared" si="9"/>
        <v/>
      </c>
      <c r="W25" s="351" t="str">
        <f t="shared" si="10"/>
        <v/>
      </c>
      <c r="X25" s="472" t="str">
        <f t="shared" si="14"/>
        <v/>
      </c>
      <c r="Y25" s="170" t="str">
        <f t="shared" si="11"/>
        <v/>
      </c>
      <c r="Z25" s="159"/>
      <c r="AA25" s="171" t="str">
        <f t="shared" si="15"/>
        <v/>
      </c>
      <c r="AB25" s="166" t="str">
        <f t="shared" si="16"/>
        <v/>
      </c>
      <c r="AC25" s="166" t="str">
        <f t="shared" si="17"/>
        <v/>
      </c>
      <c r="AD25" s="166" t="str">
        <f t="shared" si="18"/>
        <v/>
      </c>
      <c r="AE25" s="441" t="str">
        <f t="shared" si="19"/>
        <v/>
      </c>
    </row>
    <row r="26" spans="1:31" ht="15.5" x14ac:dyDescent="0.25">
      <c r="A26" s="71"/>
      <c r="B26" s="111"/>
      <c r="C26" s="112"/>
      <c r="D26" s="113"/>
      <c r="E26" s="322"/>
      <c r="F26" s="114"/>
      <c r="G26" s="115"/>
      <c r="H26" s="112" t="str">
        <f t="shared" si="20"/>
        <v/>
      </c>
      <c r="I26" s="380" t="str">
        <f t="shared" si="12"/>
        <v/>
      </c>
      <c r="J26" s="127"/>
      <c r="K26" s="128" t="str">
        <f t="shared" si="21"/>
        <v/>
      </c>
      <c r="L26" s="115" t="str">
        <f t="shared" si="22"/>
        <v/>
      </c>
      <c r="M26" s="129" t="str">
        <f t="shared" si="23"/>
        <v/>
      </c>
      <c r="N26" s="130" t="str">
        <f t="shared" si="24"/>
        <v/>
      </c>
      <c r="O26" s="446" t="e">
        <f t="shared" si="13"/>
        <v>#VALUE!</v>
      </c>
      <c r="P26" s="144"/>
      <c r="Q26" s="125"/>
      <c r="R26" s="151"/>
      <c r="S26" s="167" t="str">
        <f t="shared" si="7"/>
        <v/>
      </c>
      <c r="T26" s="168" t="str">
        <f t="shared" si="8"/>
        <v/>
      </c>
      <c r="U26" s="154"/>
      <c r="V26" s="350" t="str">
        <f t="shared" si="9"/>
        <v/>
      </c>
      <c r="W26" s="351" t="str">
        <f t="shared" si="10"/>
        <v/>
      </c>
      <c r="X26" s="472" t="str">
        <f t="shared" si="14"/>
        <v/>
      </c>
      <c r="Y26" s="170" t="str">
        <f t="shared" si="11"/>
        <v/>
      </c>
      <c r="Z26" s="159"/>
      <c r="AA26" s="171" t="str">
        <f t="shared" si="15"/>
        <v/>
      </c>
      <c r="AB26" s="166" t="str">
        <f t="shared" si="16"/>
        <v/>
      </c>
      <c r="AC26" s="166" t="str">
        <f t="shared" si="17"/>
        <v/>
      </c>
      <c r="AD26" s="166" t="str">
        <f t="shared" si="18"/>
        <v/>
      </c>
      <c r="AE26" s="441" t="str">
        <f t="shared" si="19"/>
        <v/>
      </c>
    </row>
    <row r="27" spans="1:31" ht="15.5" x14ac:dyDescent="0.25">
      <c r="A27" s="71"/>
      <c r="B27" s="140"/>
      <c r="C27" s="132"/>
      <c r="D27" s="145" t="str">
        <f t="shared" si="0"/>
        <v/>
      </c>
      <c r="E27" s="134"/>
      <c r="F27" s="134"/>
      <c r="G27" s="136"/>
      <c r="H27" s="89" t="str">
        <f>IFERROR(IF(G27-$Q$2&lt;=0,"",(G27-$Q$2)*86400),"")</f>
        <v/>
      </c>
      <c r="I27" s="446" t="str">
        <f t="shared" si="12"/>
        <v/>
      </c>
      <c r="J27" s="91"/>
      <c r="K27" s="94" t="str">
        <f>IFERROR(H27*(1+0.01*J27)-I27*$N$3,"")</f>
        <v/>
      </c>
      <c r="L27" s="92" t="str">
        <f>IFERROR((K27-$K$7)/86400,"")</f>
        <v/>
      </c>
      <c r="M27" s="95" t="str">
        <f>IFERROR((K27-$K$7)/$N$3,"")</f>
        <v/>
      </c>
      <c r="N27" s="96" t="str">
        <f>IFERROR($N$3/(H27/3600),"")</f>
        <v/>
      </c>
      <c r="O27" s="166" t="e">
        <f t="shared" si="13"/>
        <v>#VALUE!</v>
      </c>
      <c r="P27" s="146"/>
      <c r="Q27" s="141"/>
      <c r="R27" s="151"/>
      <c r="S27" s="167" t="str">
        <f t="shared" si="7"/>
        <v/>
      </c>
      <c r="T27" s="168" t="str">
        <f t="shared" si="8"/>
        <v/>
      </c>
      <c r="U27" s="154"/>
      <c r="V27" s="350" t="str">
        <f t="shared" si="9"/>
        <v/>
      </c>
      <c r="W27" s="351" t="str">
        <f t="shared" si="10"/>
        <v/>
      </c>
      <c r="X27" s="472" t="str">
        <f t="shared" si="14"/>
        <v/>
      </c>
      <c r="Y27" s="170" t="str">
        <f t="shared" si="11"/>
        <v/>
      </c>
      <c r="Z27" s="159"/>
      <c r="AA27" s="171" t="str">
        <f t="shared" si="15"/>
        <v/>
      </c>
      <c r="AB27" s="166" t="str">
        <f t="shared" si="16"/>
        <v/>
      </c>
      <c r="AC27" s="166" t="str">
        <f t="shared" si="17"/>
        <v/>
      </c>
      <c r="AD27" s="437" t="str">
        <f t="shared" ref="AD27:AD31" si="26">IF(ISBLANK(B27),"",IFERROR(30*($P$3-$B27)/($P$3-1)+10,"30.0"))</f>
        <v/>
      </c>
      <c r="AE27" s="441" t="str">
        <f t="shared" si="19"/>
        <v/>
      </c>
    </row>
    <row r="28" spans="1:31" ht="14.25" customHeight="1" x14ac:dyDescent="0.25">
      <c r="A28" s="71"/>
      <c r="B28" s="99"/>
      <c r="C28" s="100"/>
      <c r="D28" s="101" t="str">
        <f t="shared" si="0"/>
        <v/>
      </c>
      <c r="E28" s="102"/>
      <c r="F28" s="102"/>
      <c r="G28" s="103"/>
      <c r="H28" s="100"/>
      <c r="I28" s="104" t="str">
        <f t="shared" si="12"/>
        <v/>
      </c>
      <c r="J28" s="102"/>
      <c r="K28" s="105"/>
      <c r="L28" s="103"/>
      <c r="M28" s="106"/>
      <c r="N28" s="107"/>
      <c r="O28" s="166" t="e">
        <f t="shared" si="13"/>
        <v>#VALUE!</v>
      </c>
      <c r="P28" s="147"/>
      <c r="Q28" s="110"/>
      <c r="R28" s="151"/>
      <c r="S28" s="167" t="str">
        <f t="shared" si="7"/>
        <v/>
      </c>
      <c r="T28" s="168" t="str">
        <f t="shared" si="8"/>
        <v/>
      </c>
      <c r="U28" s="154"/>
      <c r="V28" s="350" t="str">
        <f t="shared" si="9"/>
        <v/>
      </c>
      <c r="W28" s="351" t="str">
        <f t="shared" si="10"/>
        <v/>
      </c>
      <c r="X28" s="472" t="str">
        <f t="shared" si="14"/>
        <v/>
      </c>
      <c r="Y28" s="170" t="str">
        <f t="shared" si="11"/>
        <v/>
      </c>
      <c r="Z28" s="159"/>
      <c r="AA28" s="171" t="str">
        <f t="shared" si="15"/>
        <v/>
      </c>
      <c r="AB28" s="166" t="str">
        <f t="shared" si="16"/>
        <v/>
      </c>
      <c r="AC28" s="166" t="str">
        <f t="shared" si="17"/>
        <v/>
      </c>
      <c r="AD28" s="437" t="str">
        <f t="shared" si="26"/>
        <v/>
      </c>
      <c r="AE28" s="441" t="str">
        <f t="shared" si="19"/>
        <v/>
      </c>
    </row>
    <row r="29" spans="1:31" ht="15.5" x14ac:dyDescent="0.25">
      <c r="A29" s="71"/>
      <c r="B29" s="99"/>
      <c r="C29" s="100"/>
      <c r="D29" s="101" t="str">
        <f t="shared" si="0"/>
        <v/>
      </c>
      <c r="E29" s="102"/>
      <c r="F29" s="102"/>
      <c r="G29" s="103"/>
      <c r="H29" s="100"/>
      <c r="I29" s="104" t="str">
        <f t="shared" si="12"/>
        <v/>
      </c>
      <c r="J29" s="102"/>
      <c r="K29" s="105"/>
      <c r="L29" s="103"/>
      <c r="M29" s="106"/>
      <c r="N29" s="107"/>
      <c r="O29" s="166" t="e">
        <f t="shared" si="13"/>
        <v>#VALUE!</v>
      </c>
      <c r="P29" s="143"/>
      <c r="Q29" s="110"/>
      <c r="R29" s="151"/>
      <c r="S29" s="167" t="str">
        <f t="shared" si="7"/>
        <v/>
      </c>
      <c r="T29" s="168" t="str">
        <f t="shared" si="8"/>
        <v/>
      </c>
      <c r="U29" s="154"/>
      <c r="V29" s="350" t="str">
        <f t="shared" si="9"/>
        <v/>
      </c>
      <c r="W29" s="351" t="str">
        <f t="shared" si="10"/>
        <v/>
      </c>
      <c r="X29" s="472" t="str">
        <f t="shared" si="14"/>
        <v/>
      </c>
      <c r="Y29" s="170" t="str">
        <f t="shared" si="11"/>
        <v/>
      </c>
      <c r="Z29" s="159"/>
      <c r="AA29" s="171" t="str">
        <f t="shared" si="15"/>
        <v/>
      </c>
      <c r="AB29" s="166" t="str">
        <f t="shared" si="16"/>
        <v/>
      </c>
      <c r="AC29" s="166" t="str">
        <f t="shared" si="17"/>
        <v/>
      </c>
      <c r="AD29" s="437" t="str">
        <f t="shared" si="26"/>
        <v/>
      </c>
      <c r="AE29" s="441" t="str">
        <f t="shared" si="19"/>
        <v/>
      </c>
    </row>
    <row r="30" spans="1:31" ht="14.25" customHeight="1" x14ac:dyDescent="0.25">
      <c r="A30" s="71"/>
      <c r="B30" s="99"/>
      <c r="C30" s="100"/>
      <c r="D30" s="101" t="str">
        <f t="shared" si="0"/>
        <v/>
      </c>
      <c r="E30" s="102"/>
      <c r="F30" s="102"/>
      <c r="G30" s="103"/>
      <c r="H30" s="100"/>
      <c r="I30" s="104" t="str">
        <f t="shared" si="12"/>
        <v/>
      </c>
      <c r="J30" s="102"/>
      <c r="K30" s="105"/>
      <c r="L30" s="103"/>
      <c r="M30" s="106"/>
      <c r="N30" s="107"/>
      <c r="O30" s="166" t="e">
        <f t="shared" si="13"/>
        <v>#VALUE!</v>
      </c>
      <c r="P30" s="143"/>
      <c r="Q30" s="110"/>
      <c r="R30" s="151"/>
      <c r="S30" s="167" t="str">
        <f t="shared" si="7"/>
        <v/>
      </c>
      <c r="T30" s="168" t="str">
        <f t="shared" si="8"/>
        <v/>
      </c>
      <c r="U30" s="154"/>
      <c r="V30" s="362" t="str">
        <f t="shared" si="9"/>
        <v/>
      </c>
      <c r="W30" s="351" t="str">
        <f t="shared" si="10"/>
        <v/>
      </c>
      <c r="X30" s="475" t="str">
        <f t="shared" si="14"/>
        <v/>
      </c>
      <c r="Y30" s="170" t="str">
        <f t="shared" si="11"/>
        <v/>
      </c>
      <c r="Z30" s="159"/>
      <c r="AA30" s="171" t="str">
        <f t="shared" si="15"/>
        <v/>
      </c>
      <c r="AB30" s="166" t="str">
        <f t="shared" si="16"/>
        <v/>
      </c>
      <c r="AC30" s="166" t="str">
        <f t="shared" si="17"/>
        <v/>
      </c>
      <c r="AD30" s="437" t="str">
        <f t="shared" si="26"/>
        <v/>
      </c>
      <c r="AE30" s="441" t="str">
        <f t="shared" si="19"/>
        <v/>
      </c>
    </row>
    <row r="31" spans="1:31" ht="16" thickBot="1" x14ac:dyDescent="0.3">
      <c r="A31" s="71"/>
      <c r="B31" s="99"/>
      <c r="C31" s="100"/>
      <c r="D31" s="113" t="str">
        <f t="shared" si="0"/>
        <v/>
      </c>
      <c r="E31" s="114"/>
      <c r="F31" s="102"/>
      <c r="G31" s="103"/>
      <c r="H31" s="112" t="str">
        <f>IFERROR(IF(G31-$Q$2&lt;=0,"",(G31-$Q$2)*86400),"")</f>
        <v/>
      </c>
      <c r="I31" s="126" t="str">
        <f t="shared" si="12"/>
        <v/>
      </c>
      <c r="J31" s="114"/>
      <c r="K31" s="128" t="str">
        <f>IFERROR(H31*(1+0.01*J31)-I31*$N$3,"")</f>
        <v/>
      </c>
      <c r="L31" s="115" t="str">
        <f>IFERROR((K31-$K$7)/86400,"")</f>
        <v/>
      </c>
      <c r="M31" s="129" t="str">
        <f>IFERROR((K31-$K$7)/$N$3,"")</f>
        <v/>
      </c>
      <c r="N31" s="130" t="str">
        <f>IFERROR($N$3/(H31/3600),"")</f>
        <v/>
      </c>
      <c r="O31" s="166" t="e">
        <f t="shared" si="13"/>
        <v>#VALUE!</v>
      </c>
      <c r="P31" s="144"/>
      <c r="Q31" s="125"/>
      <c r="R31" s="151"/>
      <c r="S31" s="172" t="str">
        <f t="shared" si="7"/>
        <v/>
      </c>
      <c r="T31" s="173" t="str">
        <f t="shared" si="8"/>
        <v/>
      </c>
      <c r="U31" s="154"/>
      <c r="V31" s="360" t="str">
        <f t="shared" si="9"/>
        <v/>
      </c>
      <c r="W31" s="361" t="str">
        <f t="shared" si="10"/>
        <v/>
      </c>
      <c r="X31" s="476" t="str">
        <f t="shared" si="14"/>
        <v/>
      </c>
      <c r="Y31" s="354" t="str">
        <f t="shared" si="11"/>
        <v/>
      </c>
      <c r="Z31" s="159"/>
      <c r="AA31" s="442" t="str">
        <f t="shared" ref="AA31" si="27">IF(ISBLANK(A31),"",IFERROR(15*($P$3+1-$B31)/$P$3,"15.0"))</f>
        <v/>
      </c>
      <c r="AB31" s="443" t="str">
        <f t="shared" si="16"/>
        <v/>
      </c>
      <c r="AC31" s="443" t="str">
        <f t="shared" ref="AC31" si="28">IF(ISBLANK(A31),"",IFERROR(25*($P$3+1-$B31)/$P$3,"25.0"))</f>
        <v/>
      </c>
      <c r="AD31" s="438" t="str">
        <f t="shared" si="26"/>
        <v/>
      </c>
      <c r="AE31" s="444" t="str">
        <f t="shared" si="19"/>
        <v/>
      </c>
    </row>
    <row r="32" spans="1:31" ht="15" customHeight="1" x14ac:dyDescent="0.25">
      <c r="A32" s="71"/>
      <c r="B32" s="584" t="s">
        <v>190</v>
      </c>
      <c r="C32" s="585"/>
      <c r="D32" s="586"/>
      <c r="E32" s="148" t="s">
        <v>151</v>
      </c>
      <c r="F32" s="593" t="s">
        <v>218</v>
      </c>
      <c r="G32" s="594"/>
      <c r="H32" s="595" t="s">
        <v>248</v>
      </c>
      <c r="I32" s="596"/>
      <c r="J32" s="596"/>
      <c r="K32" s="596"/>
      <c r="L32" s="596"/>
      <c r="M32" s="596"/>
      <c r="N32" s="596"/>
      <c r="O32" s="596"/>
      <c r="P32" s="596"/>
      <c r="Q32" s="597"/>
      <c r="R32" s="62"/>
      <c r="S32" s="154"/>
      <c r="T32" s="154"/>
      <c r="U32" s="154"/>
      <c r="X32" s="154"/>
      <c r="Y32" s="154"/>
      <c r="Z32" s="154"/>
    </row>
    <row r="33" spans="1:31" ht="15" customHeight="1" x14ac:dyDescent="0.25">
      <c r="A33" s="71"/>
      <c r="B33" s="587"/>
      <c r="C33" s="588"/>
      <c r="D33" s="589"/>
      <c r="E33" s="149" t="s">
        <v>152</v>
      </c>
      <c r="F33" s="576"/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62"/>
      <c r="S33" s="154"/>
      <c r="T33" s="154"/>
      <c r="U33" s="154"/>
      <c r="X33" s="154"/>
      <c r="Y33" s="154"/>
      <c r="Z33" s="154"/>
      <c r="AA33" s="515" t="s">
        <v>294</v>
      </c>
      <c r="AB33" s="515"/>
      <c r="AC33" s="515"/>
      <c r="AD33" s="515"/>
      <c r="AE33" s="515"/>
    </row>
    <row r="34" spans="1:31" ht="23.25" customHeight="1" x14ac:dyDescent="0.25">
      <c r="A34" s="71"/>
      <c r="B34" s="590"/>
      <c r="C34" s="591"/>
      <c r="D34" s="592"/>
      <c r="E34" s="149" t="s">
        <v>153</v>
      </c>
      <c r="F34" s="576"/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62"/>
      <c r="S34" s="154"/>
      <c r="T34" s="154"/>
      <c r="U34" s="154"/>
      <c r="X34" s="154"/>
      <c r="Y34" s="154"/>
      <c r="Z34" s="154"/>
    </row>
    <row r="35" spans="1:31" ht="22.5" customHeight="1" x14ac:dyDescent="0.25">
      <c r="A35" s="71"/>
      <c r="B35" s="604" t="s">
        <v>191</v>
      </c>
      <c r="C35" s="605"/>
      <c r="D35" s="606"/>
      <c r="E35" s="578" t="s">
        <v>155</v>
      </c>
      <c r="F35" s="576" t="str">
        <f>参照ﾃﾞｰﾀ!AB15</f>
        <v>Miss Emica</v>
      </c>
      <c r="G35" s="577"/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62"/>
      <c r="S35" s="154"/>
      <c r="T35" s="154"/>
      <c r="U35" s="154"/>
      <c r="X35" s="154"/>
      <c r="Y35" s="154"/>
      <c r="Z35" s="154"/>
    </row>
    <row r="36" spans="1:31" ht="15" customHeight="1" x14ac:dyDescent="0.25">
      <c r="A36" s="71"/>
      <c r="B36" s="607"/>
      <c r="C36" s="608"/>
      <c r="D36" s="609"/>
      <c r="E36" s="615"/>
      <c r="F36" s="576"/>
      <c r="G36" s="577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62"/>
      <c r="S36" s="154"/>
      <c r="T36" s="154"/>
      <c r="U36" s="154"/>
      <c r="X36" s="154"/>
      <c r="Y36" s="154"/>
      <c r="Z36" s="154"/>
    </row>
    <row r="37" spans="1:31" ht="15" customHeight="1" x14ac:dyDescent="0.25">
      <c r="A37" s="71"/>
      <c r="B37" s="607"/>
      <c r="C37" s="608"/>
      <c r="D37" s="609"/>
      <c r="E37" s="148" t="s">
        <v>154</v>
      </c>
      <c r="F37" s="574">
        <f>参照ﾃﾞｰﾀ!Z16</f>
        <v>46376</v>
      </c>
      <c r="G37" s="5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62"/>
      <c r="S37" s="154"/>
      <c r="T37" s="154"/>
      <c r="U37" s="154"/>
      <c r="X37" s="154"/>
      <c r="Y37" s="154"/>
      <c r="Z37" s="154"/>
    </row>
    <row r="38" spans="1:31" ht="15" customHeight="1" x14ac:dyDescent="0.25">
      <c r="A38" s="71"/>
      <c r="B38" s="607"/>
      <c r="C38" s="608"/>
      <c r="D38" s="609"/>
      <c r="E38" s="149" t="s">
        <v>167</v>
      </c>
      <c r="F38" s="576" t="str">
        <f>参照ﾃﾞｰﾀ!AA16</f>
        <v>E</v>
      </c>
      <c r="G38" s="5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62"/>
      <c r="S38" s="154"/>
      <c r="T38" s="154"/>
      <c r="U38" s="154"/>
      <c r="X38" s="154"/>
      <c r="Y38" s="154"/>
      <c r="Z38" s="154"/>
    </row>
    <row r="39" spans="1:31" ht="15" customHeight="1" x14ac:dyDescent="0.25">
      <c r="A39" s="71"/>
      <c r="B39" s="607"/>
      <c r="C39" s="608"/>
      <c r="D39" s="609"/>
      <c r="E39" s="578" t="s">
        <v>155</v>
      </c>
      <c r="F39" s="576" t="str">
        <f>参照ﾃﾞｰﾀ!AB16</f>
        <v>IXORA IV</v>
      </c>
      <c r="G39" s="5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62"/>
      <c r="S39" s="154"/>
      <c r="T39" s="154"/>
      <c r="U39" s="154"/>
      <c r="X39" s="154"/>
      <c r="Y39" s="154"/>
      <c r="Z39" s="154"/>
    </row>
    <row r="40" spans="1:31" ht="15" customHeight="1" x14ac:dyDescent="0.25">
      <c r="A40" s="71"/>
      <c r="B40" s="607"/>
      <c r="C40" s="608"/>
      <c r="D40" s="609"/>
      <c r="E40" s="578"/>
      <c r="F40" s="576" t="s">
        <v>293</v>
      </c>
      <c r="G40" s="577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62"/>
      <c r="S40" s="154"/>
      <c r="T40" s="154"/>
      <c r="U40" s="154"/>
      <c r="X40" s="154"/>
      <c r="Y40" s="154"/>
      <c r="Z40" s="154"/>
    </row>
    <row r="41" spans="1:31" ht="11.25" customHeight="1" thickBot="1" x14ac:dyDescent="0.3">
      <c r="A41" s="71"/>
      <c r="B41" s="610"/>
      <c r="C41" s="611"/>
      <c r="D41" s="612"/>
      <c r="E41" s="150"/>
      <c r="F41" s="613"/>
      <c r="G41" s="614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62"/>
      <c r="S41" s="154"/>
      <c r="T41" s="154"/>
      <c r="U41" s="154"/>
      <c r="V41" s="154"/>
      <c r="W41" s="154"/>
      <c r="X41" s="154"/>
      <c r="Y41" s="154"/>
      <c r="Z41" s="154"/>
    </row>
    <row r="42" spans="1:3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</sheetData>
  <sheetProtection algorithmName="SHA-512" hashValue="4LgkN3yTi2dpAQtqtUCpPCdTYzoDRJ1fiKCMZiqSTa20HQK/tP+SD+BFDbXb6jkBzyH6mKBoaDGqIf6xx+kHfQ==" saltValue="K3QlffgUiFnLC2n9S9KIww==" spinCount="100000" sheet="1" objects="1" scenarios="1"/>
  <sortState xmlns:xlrd2="http://schemas.microsoft.com/office/spreadsheetml/2017/richdata2" ref="C7:K20">
    <sortCondition ref="K7:K20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9">
    <dataValidation type="list" allowBlank="1" showInputMessage="1" showErrorMessage="1" sqref="D3" xr:uid="{00000000-0002-0000-0400-000000000000}">
      <formula1>レース番号</formula1>
    </dataValidation>
    <dataValidation type="list" allowBlank="1" showInputMessage="1" showErrorMessage="1" sqref="I6" xr:uid="{00000000-0002-0000-0400-000001000000}">
      <formula1>ＴＡ</formula1>
    </dataValidation>
    <dataValidation type="list" showInputMessage="1" showErrorMessage="1" sqref="E3" xr:uid="{00000000-0002-0000-0400-000002000000}">
      <formula1>レース名</formula1>
    </dataValidation>
    <dataValidation type="list" allowBlank="1" showInputMessage="1" showErrorMessage="1" sqref="N2" xr:uid="{00000000-0002-0000-0400-000003000000}">
      <formula1>コース</formula1>
    </dataValidation>
    <dataValidation type="list" allowBlank="1" showInputMessage="1" showErrorMessage="1" sqref="G2" xr:uid="{00000000-0002-0000-0400-000004000000}">
      <formula1>月</formula1>
    </dataValidation>
    <dataValidation type="list" allowBlank="1" showInputMessage="1" showErrorMessage="1" sqref="J3:K3" xr:uid="{00000000-0002-0000-0400-000005000000}">
      <formula1>暫定</formula1>
    </dataValidation>
    <dataValidation type="list" allowBlank="1" showInputMessage="1" showErrorMessage="1" sqref="Q2" xr:uid="{00000000-0002-0000-0400-000006000000}">
      <formula1>時刻</formula1>
    </dataValidation>
    <dataValidation type="list" allowBlank="1" showInputMessage="1" showErrorMessage="1" sqref="P2 F37:G37" xr:uid="{00000000-0002-0000-0400-000007000000}">
      <formula1>開催日</formula1>
    </dataValidation>
    <dataValidation type="list" allowBlank="1" showInputMessage="1" showErrorMessage="1" sqref="O6" xr:uid="{87F209EB-F95F-4850-BE7A-33E11CB22723}">
      <formula1>$AA$6:$AE$6</formula1>
    </dataValidation>
  </dataValidations>
  <pageMargins left="0.31496062992125984" right="0" top="0.35433070866141736" bottom="0.19685039370078741" header="0" footer="0"/>
  <pageSetup paperSize="9" scale="92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A9108D-F3B1-4AAF-B2B0-333D2F5B5F8E}">
          <x14:formula1>
            <xm:f>参照ﾃﾞｰﾀ!$B$4:$B$17</xm:f>
          </x14:formula1>
          <xm:sqref>F38:G38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42"/>
  <sheetViews>
    <sheetView zoomScale="85" zoomScaleNormal="85" workbookViewId="0">
      <selection activeCell="H21" sqref="H21"/>
    </sheetView>
  </sheetViews>
  <sheetFormatPr defaultColWidth="9" defaultRowHeight="13" x14ac:dyDescent="0.2"/>
  <cols>
    <col min="1" max="1" width="1.7265625" style="153" customWidth="1"/>
    <col min="2" max="2" width="5" style="153" customWidth="1"/>
    <col min="3" max="3" width="7" style="153" customWidth="1"/>
    <col min="4" max="4" width="18" style="153" customWidth="1"/>
    <col min="5" max="5" width="8" style="153" hidden="1" customWidth="1"/>
    <col min="6" max="6" width="5" style="153" customWidth="1"/>
    <col min="7" max="7" width="10.90625" style="153" customWidth="1"/>
    <col min="8" max="8" width="8.36328125" style="153" customWidth="1"/>
    <col min="9" max="9" width="8.6328125" style="153" customWidth="1"/>
    <col min="10" max="10" width="5" style="153" customWidth="1"/>
    <col min="11" max="11" width="8.453125" style="153" customWidth="1"/>
    <col min="12" max="12" width="10.6328125" style="153" bestFit="1" customWidth="1"/>
    <col min="13" max="13" width="9.453125" style="153" customWidth="1"/>
    <col min="14" max="14" width="7.90625" style="153" customWidth="1"/>
    <col min="15" max="15" width="8" style="153" customWidth="1"/>
    <col min="16" max="16" width="12" style="153" bestFit="1" customWidth="1"/>
    <col min="17" max="17" width="11.6328125" style="153" customWidth="1"/>
    <col min="18" max="18" width="4.90625" style="153" customWidth="1"/>
    <col min="19" max="21" width="7.6328125" style="153" hidden="1" customWidth="1"/>
    <col min="22" max="22" width="8.26953125" style="153" customWidth="1"/>
    <col min="23" max="25" width="7.6328125" style="153" customWidth="1"/>
    <col min="26" max="26" width="4.453125" style="153" customWidth="1"/>
    <col min="27" max="29" width="8" style="153" customWidth="1"/>
    <col min="30" max="16384" width="9" style="153"/>
  </cols>
  <sheetData>
    <row r="1" spans="1:31" ht="9.7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31" ht="21" x14ac:dyDescent="0.3">
      <c r="A2" s="71"/>
      <c r="B2" s="62"/>
      <c r="C2" s="63"/>
      <c r="D2" s="579" t="str">
        <f>参照ﾃﾞｰﾀ!F4</f>
        <v>2026年</v>
      </c>
      <c r="E2" s="579"/>
      <c r="F2" s="579"/>
      <c r="G2" s="64" t="s">
        <v>166</v>
      </c>
      <c r="H2" s="309"/>
      <c r="I2" s="66"/>
      <c r="J2" s="62"/>
      <c r="K2" s="67"/>
      <c r="L2" s="62"/>
      <c r="M2" s="68" t="s">
        <v>33</v>
      </c>
      <c r="N2" s="518" t="s">
        <v>281</v>
      </c>
      <c r="O2" s="70" t="s">
        <v>35</v>
      </c>
      <c r="P2" s="194">
        <f>参照ﾃﾞｰﾀ!J16</f>
        <v>46376</v>
      </c>
      <c r="Q2" s="195">
        <v>0.4375</v>
      </c>
      <c r="R2" s="62"/>
      <c r="S2" s="155" t="s">
        <v>2</v>
      </c>
      <c r="T2" s="154"/>
      <c r="U2" s="154"/>
      <c r="V2" s="155" t="str">
        <f>参照ＴＡ!AU3</f>
        <v>2026年</v>
      </c>
      <c r="W2" s="155" t="str">
        <f>参照ＴＡ!AW3</f>
        <v>12月</v>
      </c>
      <c r="X2" s="154"/>
      <c r="Y2" s="154"/>
      <c r="Z2" s="154"/>
    </row>
    <row r="3" spans="1:31" ht="21.75" customHeight="1" thickBot="1" x14ac:dyDescent="0.35">
      <c r="A3" s="71"/>
      <c r="B3" s="62"/>
      <c r="C3" s="71"/>
      <c r="D3" s="72" t="s">
        <v>278</v>
      </c>
      <c r="E3" s="616" t="s">
        <v>45</v>
      </c>
      <c r="F3" s="616"/>
      <c r="G3" s="616"/>
      <c r="H3" s="616"/>
      <c r="I3" s="616"/>
      <c r="J3" s="581" t="s">
        <v>36</v>
      </c>
      <c r="K3" s="581"/>
      <c r="L3" s="62"/>
      <c r="M3" s="73" t="s">
        <v>56</v>
      </c>
      <c r="N3" s="74">
        <f>IF(ISBLANK(N2),"",VLOOKUP(N2,コース・距離,2,FALSE))</f>
        <v>11.3</v>
      </c>
      <c r="O3" s="75" t="s">
        <v>0</v>
      </c>
      <c r="P3" s="517">
        <v>25</v>
      </c>
      <c r="Q3" s="77" t="s">
        <v>1</v>
      </c>
      <c r="R3" s="62"/>
      <c r="S3" s="154" t="s">
        <v>182</v>
      </c>
      <c r="T3" s="154"/>
      <c r="U3" s="154"/>
      <c r="V3" s="155" t="s">
        <v>2</v>
      </c>
      <c r="W3" s="154"/>
      <c r="X3" s="154"/>
      <c r="Y3" s="154"/>
      <c r="Z3" s="154"/>
      <c r="AA3" s="156" t="s">
        <v>57</v>
      </c>
    </row>
    <row r="4" spans="1:31" ht="7.5" customHeight="1" thickBot="1" x14ac:dyDescent="0.3">
      <c r="A4" s="7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154"/>
      <c r="T4" s="154"/>
      <c r="U4" s="154"/>
      <c r="V4" s="157"/>
      <c r="W4" s="154"/>
      <c r="X4" s="154"/>
      <c r="Y4" s="154"/>
      <c r="Z4" s="154"/>
    </row>
    <row r="5" spans="1:31" ht="14" x14ac:dyDescent="0.2">
      <c r="A5" s="71"/>
      <c r="B5" s="78" t="s">
        <v>3</v>
      </c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10</v>
      </c>
      <c r="J5" s="79" t="s">
        <v>11</v>
      </c>
      <c r="K5" s="79" t="s">
        <v>12</v>
      </c>
      <c r="L5" s="80" t="s">
        <v>192</v>
      </c>
      <c r="M5" s="80" t="s">
        <v>189</v>
      </c>
      <c r="N5" s="79" t="s">
        <v>52</v>
      </c>
      <c r="O5" s="79" t="s">
        <v>13</v>
      </c>
      <c r="P5" s="582" t="s">
        <v>51</v>
      </c>
      <c r="Q5" s="583"/>
      <c r="R5" s="151"/>
      <c r="S5" s="160" t="s">
        <v>10</v>
      </c>
      <c r="T5" s="158" t="s">
        <v>10</v>
      </c>
      <c r="U5" s="161" t="s">
        <v>10</v>
      </c>
      <c r="V5" s="160" t="s">
        <v>10</v>
      </c>
      <c r="W5" s="158" t="s">
        <v>10</v>
      </c>
      <c r="X5" s="356" t="s">
        <v>10</v>
      </c>
      <c r="Y5" s="161" t="s">
        <v>10</v>
      </c>
      <c r="Z5" s="159"/>
      <c r="AA5" s="160" t="s">
        <v>13</v>
      </c>
      <c r="AB5" s="158" t="s">
        <v>13</v>
      </c>
      <c r="AC5" s="356" t="s">
        <v>13</v>
      </c>
      <c r="AD5" s="158" t="s">
        <v>13</v>
      </c>
      <c r="AE5" s="431" t="s">
        <v>13</v>
      </c>
    </row>
    <row r="6" spans="1:31" ht="14" x14ac:dyDescent="0.2">
      <c r="A6" s="71"/>
      <c r="B6" s="81"/>
      <c r="C6" s="82" t="s">
        <v>14</v>
      </c>
      <c r="D6" s="83"/>
      <c r="E6" s="84" t="s">
        <v>15</v>
      </c>
      <c r="F6" s="84"/>
      <c r="G6" s="82" t="s">
        <v>16</v>
      </c>
      <c r="H6" s="84" t="s">
        <v>17</v>
      </c>
      <c r="I6" s="516" t="s">
        <v>311</v>
      </c>
      <c r="J6" s="84" t="s">
        <v>18</v>
      </c>
      <c r="K6" s="84" t="s">
        <v>17</v>
      </c>
      <c r="L6" s="82" t="s">
        <v>16</v>
      </c>
      <c r="M6" s="84" t="s">
        <v>31</v>
      </c>
      <c r="N6" s="84" t="s">
        <v>19</v>
      </c>
      <c r="O6" s="430" t="str">
        <f>参照ﾃﾞｰﾀ!K16</f>
        <v>MAX=20</v>
      </c>
      <c r="P6" s="86"/>
      <c r="Q6" s="87"/>
      <c r="R6" s="152"/>
      <c r="S6" s="164" t="s">
        <v>20</v>
      </c>
      <c r="T6" s="162" t="s">
        <v>22</v>
      </c>
      <c r="U6" s="165" t="s">
        <v>21</v>
      </c>
      <c r="V6" s="164" t="s">
        <v>20</v>
      </c>
      <c r="W6" s="162" t="s">
        <v>22</v>
      </c>
      <c r="X6" s="357" t="s">
        <v>21</v>
      </c>
      <c r="Y6" s="474" t="s">
        <v>250</v>
      </c>
      <c r="Z6" s="163"/>
      <c r="AA6" s="439" t="s">
        <v>206</v>
      </c>
      <c r="AB6" s="430" t="s">
        <v>59</v>
      </c>
      <c r="AC6" s="440" t="s">
        <v>205</v>
      </c>
      <c r="AD6" s="430" t="s">
        <v>251</v>
      </c>
      <c r="AE6" s="436" t="s">
        <v>252</v>
      </c>
    </row>
    <row r="7" spans="1:31" ht="14" x14ac:dyDescent="0.2">
      <c r="A7" s="71"/>
      <c r="B7" s="88">
        <v>1</v>
      </c>
      <c r="C7" s="89"/>
      <c r="D7" s="90" t="str">
        <f t="shared" ref="D7:D31" si="0">IF(ISBLANK(C7),"",VLOOKUP(C7,第6月ＴＡ,2,FALSE))</f>
        <v/>
      </c>
      <c r="E7" s="179" t="str">
        <f t="shared" ref="E7:E11" si="1">IF($I$6="Ⅰ",S7,IF($I$6="Ⅱ",T7,IF($I$6="Ⅲ",U7,"")))</f>
        <v/>
      </c>
      <c r="F7" s="91">
        <v>1</v>
      </c>
      <c r="G7" s="92"/>
      <c r="H7" s="89" t="str">
        <f t="shared" ref="H7:H11" si="2">IFERROR(IF(G7-$Q$2&lt;=0,"",(G7-$Q$2)*86400),"")</f>
        <v/>
      </c>
      <c r="I7" s="93" t="str">
        <f>IF($I$6="Ⅰ",V7,IF($I$6="Ⅱ",W7,IF($I$6="Ⅲ",X7,IF($I$6="IV",Y7,""))))</f>
        <v/>
      </c>
      <c r="J7" s="91"/>
      <c r="K7" s="94" t="str">
        <f t="shared" ref="K7:K11" si="3">IFERROR(H7*(1+0.01*J7)-I7*$N$3,"")</f>
        <v/>
      </c>
      <c r="L7" s="92" t="str">
        <f t="shared" ref="L7:L11" si="4">IFERROR((K7-$K$7)/86400,"")</f>
        <v/>
      </c>
      <c r="M7" s="95" t="str">
        <f t="shared" ref="M7:M11" si="5">IFERROR((K7-$K$7)/$N$3,"")</f>
        <v/>
      </c>
      <c r="N7" s="96" t="str">
        <f t="shared" ref="N7:N11" si="6">IFERROR($N$3/(H7/3600),"")</f>
        <v/>
      </c>
      <c r="O7" s="445">
        <f>ROUND(IF($O$6="MAX=15",AA7,IF($O$6="MAX=20",AB7,IF($O$6="MAX=25",AC7,IF($O$6="MAX=30",AD7,IF($O$6="MAX=40",AE7))))),1)</f>
        <v>20</v>
      </c>
      <c r="P7" s="299"/>
      <c r="Q7" s="98"/>
      <c r="R7" s="151"/>
      <c r="S7" s="167" t="str">
        <f t="shared" ref="S7:S31" si="7">IF(ISBLANK(C7),"",VLOOKUP(C7,各艇データ,3,FALSE))</f>
        <v/>
      </c>
      <c r="T7" s="168" t="str">
        <f t="shared" ref="T7:T31" si="8">IF(ISBLANK(C7),"",VLOOKUP(C7,各艇データ,4,FALSE))</f>
        <v/>
      </c>
      <c r="U7" s="169" t="str">
        <f t="shared" ref="U7:U31" si="9">IF(ISBLANK(C7),"",VLOOKUP(C7,各艇データ,5,FALSE))</f>
        <v/>
      </c>
      <c r="V7" s="350" t="str">
        <f>IF(ISBLANK(C7),"",VLOOKUP(C7,第6月ＴＡ,3,FALSE))</f>
        <v/>
      </c>
      <c r="W7" s="532" t="str">
        <f t="shared" ref="W7:W31" si="10">IF(ISBLANK(C7),"",VLOOKUP(C7,第6月ＴＡ,4,FALSE))</f>
        <v/>
      </c>
      <c r="X7" s="472" t="str">
        <f t="shared" ref="X7:X31" si="11">IF(ISBLANK(C7),"",VLOOKUP(C7,第6月ＴＡ,5,FALSE))</f>
        <v/>
      </c>
      <c r="Y7" s="170" t="str">
        <f t="shared" ref="Y7:Y31" si="12">IF(ISBLANK(C7),"",VLOOKUP(C7,第6月ＴＡ,6,FALSE))</f>
        <v/>
      </c>
      <c r="Z7" s="159"/>
      <c r="AA7" s="171">
        <f>IF(ISBLANK($B7),"",IFERROR(15*($P$3+1-$B7)/$P$3,"15.0"))</f>
        <v>15</v>
      </c>
      <c r="AB7" s="166">
        <f>IF(ISBLANK($B7),"",IFERROR(20*($P$3+1-$B7)/$P$3,"20.0"))</f>
        <v>20</v>
      </c>
      <c r="AC7" s="166">
        <f>IF(ISBLANK($B7),"",IFERROR(25*($P$3+1-$B7)/$P$3,"25.0"))</f>
        <v>25</v>
      </c>
      <c r="AD7" s="166">
        <f>IF(ISBLANK($B7),"",IFERROR(30*($P$3+1-$B7)/$P$3,"30.0"))</f>
        <v>30</v>
      </c>
      <c r="AE7" s="441">
        <f>IF(ISBLANK($B7),"",IFERROR(40*($P$3+1-$B7)/$P$3,"40.0"))</f>
        <v>40</v>
      </c>
    </row>
    <row r="8" spans="1:31" ht="14" x14ac:dyDescent="0.2">
      <c r="A8" s="71"/>
      <c r="B8" s="99">
        <v>2</v>
      </c>
      <c r="C8" s="100"/>
      <c r="D8" s="101" t="str">
        <f t="shared" si="0"/>
        <v/>
      </c>
      <c r="E8" s="180" t="str">
        <f t="shared" si="1"/>
        <v/>
      </c>
      <c r="F8" s="102">
        <v>2</v>
      </c>
      <c r="G8" s="103"/>
      <c r="H8" s="100" t="str">
        <f t="shared" si="2"/>
        <v/>
      </c>
      <c r="I8" s="104" t="str">
        <f t="shared" ref="I8:I31" si="13">IF($I$6="Ⅰ",V8,IF($I$6="Ⅱ",W8,IF($I$6="Ⅲ",X8,IF($I$6="IV",Y8,""))))</f>
        <v/>
      </c>
      <c r="J8" s="102"/>
      <c r="K8" s="105" t="str">
        <f t="shared" si="3"/>
        <v/>
      </c>
      <c r="L8" s="103" t="str">
        <f t="shared" si="4"/>
        <v/>
      </c>
      <c r="M8" s="106" t="str">
        <f t="shared" si="5"/>
        <v/>
      </c>
      <c r="N8" s="107" t="str">
        <f t="shared" si="6"/>
        <v/>
      </c>
      <c r="O8" s="380">
        <f t="shared" ref="O8:O31" si="14">ROUND(IF($O$6="MAX=15",AA8,IF($O$6="MAX=20",AB8,IF($O$6="MAX=25",AC8,IF($O$6="MAX=30",AD8,IF($O$6="MAX=40",AE8))))),1)</f>
        <v>19.2</v>
      </c>
      <c r="P8" s="142"/>
      <c r="Q8" s="110"/>
      <c r="R8" s="151"/>
      <c r="S8" s="167" t="str">
        <f t="shared" si="7"/>
        <v/>
      </c>
      <c r="T8" s="168" t="str">
        <f t="shared" si="8"/>
        <v/>
      </c>
      <c r="U8" s="169" t="str">
        <f t="shared" si="9"/>
        <v/>
      </c>
      <c r="V8" s="350" t="str">
        <f t="shared" ref="V8:V31" si="15">IF(ISBLANK(C8),"",VLOOKUP(C8,第6月ＴＡ,3,FALSE))</f>
        <v/>
      </c>
      <c r="W8" s="532" t="str">
        <f t="shared" si="10"/>
        <v/>
      </c>
      <c r="X8" s="472" t="str">
        <f t="shared" si="11"/>
        <v/>
      </c>
      <c r="Y8" s="170" t="str">
        <f t="shared" si="12"/>
        <v/>
      </c>
      <c r="Z8" s="159"/>
      <c r="AA8" s="171">
        <f t="shared" ref="AA8:AA30" si="16">IF(ISBLANK($B8),"",IFERROR(15*($P$3+1-$B8)/$P$3,"15.0"))</f>
        <v>14.4</v>
      </c>
      <c r="AB8" s="166">
        <f t="shared" ref="AB8:AB31" si="17">IF(ISBLANK($B8),"",IFERROR(20*($P$3+1-$B8)/$P$3,"20.0"))</f>
        <v>19.2</v>
      </c>
      <c r="AC8" s="166">
        <f t="shared" ref="AC8:AC26" si="18">IF(ISBLANK($B8),"",IFERROR(25*($P$3+1-$B8)/$P$3,"25.0"))</f>
        <v>24</v>
      </c>
      <c r="AD8" s="166">
        <f t="shared" ref="AD8:AD26" si="19">IF(ISBLANK($B8),"",IFERROR(30*($P$3+1-$B8)/$P$3,"30.0"))</f>
        <v>28.8</v>
      </c>
      <c r="AE8" s="441">
        <f t="shared" ref="AE8:AE31" si="20">IF(ISBLANK($B8),"",IFERROR(40*($P$3+1-$B8)/$P$3,"40.0"))</f>
        <v>38.4</v>
      </c>
    </row>
    <row r="9" spans="1:31" ht="14" x14ac:dyDescent="0.2">
      <c r="A9" s="71"/>
      <c r="B9" s="99">
        <v>3</v>
      </c>
      <c r="C9" s="100"/>
      <c r="D9" s="101" t="str">
        <f t="shared" si="0"/>
        <v/>
      </c>
      <c r="E9" s="180" t="str">
        <f t="shared" si="1"/>
        <v/>
      </c>
      <c r="F9" s="102">
        <v>3</v>
      </c>
      <c r="G9" s="103"/>
      <c r="H9" s="100" t="str">
        <f t="shared" si="2"/>
        <v/>
      </c>
      <c r="I9" s="104" t="str">
        <f t="shared" si="13"/>
        <v/>
      </c>
      <c r="J9" s="102"/>
      <c r="K9" s="105" t="str">
        <f t="shared" si="3"/>
        <v/>
      </c>
      <c r="L9" s="103" t="str">
        <f t="shared" si="4"/>
        <v/>
      </c>
      <c r="M9" s="106" t="str">
        <f t="shared" si="5"/>
        <v/>
      </c>
      <c r="N9" s="107" t="str">
        <f t="shared" si="6"/>
        <v/>
      </c>
      <c r="O9" s="380">
        <f t="shared" si="14"/>
        <v>18.399999999999999</v>
      </c>
      <c r="P9" s="142"/>
      <c r="Q9" s="110"/>
      <c r="R9" s="151"/>
      <c r="S9" s="167" t="str">
        <f t="shared" si="7"/>
        <v/>
      </c>
      <c r="T9" s="168" t="str">
        <f t="shared" si="8"/>
        <v/>
      </c>
      <c r="U9" s="169" t="str">
        <f t="shared" si="9"/>
        <v/>
      </c>
      <c r="V9" s="350" t="str">
        <f t="shared" si="15"/>
        <v/>
      </c>
      <c r="W9" s="532" t="str">
        <f t="shared" si="10"/>
        <v/>
      </c>
      <c r="X9" s="472" t="str">
        <f t="shared" si="11"/>
        <v/>
      </c>
      <c r="Y9" s="170" t="str">
        <f t="shared" si="12"/>
        <v/>
      </c>
      <c r="Z9" s="159"/>
      <c r="AA9" s="171">
        <f t="shared" si="16"/>
        <v>13.8</v>
      </c>
      <c r="AB9" s="166">
        <f t="shared" si="17"/>
        <v>18.399999999999999</v>
      </c>
      <c r="AC9" s="166">
        <f t="shared" si="18"/>
        <v>23</v>
      </c>
      <c r="AD9" s="166">
        <f t="shared" si="19"/>
        <v>27.6</v>
      </c>
      <c r="AE9" s="441">
        <f t="shared" si="20"/>
        <v>36.799999999999997</v>
      </c>
    </row>
    <row r="10" spans="1:31" ht="14" x14ac:dyDescent="0.2">
      <c r="A10" s="71"/>
      <c r="B10" s="99">
        <v>4</v>
      </c>
      <c r="C10" s="100"/>
      <c r="D10" s="101" t="str">
        <f t="shared" si="0"/>
        <v/>
      </c>
      <c r="E10" s="180" t="str">
        <f t="shared" si="1"/>
        <v/>
      </c>
      <c r="F10" s="102">
        <v>4</v>
      </c>
      <c r="G10" s="103"/>
      <c r="H10" s="100" t="str">
        <f t="shared" si="2"/>
        <v/>
      </c>
      <c r="I10" s="104" t="str">
        <f t="shared" si="13"/>
        <v/>
      </c>
      <c r="J10" s="102"/>
      <c r="K10" s="105" t="str">
        <f t="shared" si="3"/>
        <v/>
      </c>
      <c r="L10" s="103" t="str">
        <f t="shared" si="4"/>
        <v/>
      </c>
      <c r="M10" s="106" t="str">
        <f t="shared" si="5"/>
        <v/>
      </c>
      <c r="N10" s="107" t="str">
        <f t="shared" si="6"/>
        <v/>
      </c>
      <c r="O10" s="380">
        <f t="shared" si="14"/>
        <v>17.600000000000001</v>
      </c>
      <c r="P10" s="109"/>
      <c r="Q10" s="110"/>
      <c r="R10" s="151"/>
      <c r="S10" s="167" t="str">
        <f t="shared" si="7"/>
        <v/>
      </c>
      <c r="T10" s="168" t="str">
        <f t="shared" si="8"/>
        <v/>
      </c>
      <c r="U10" s="169" t="str">
        <f t="shared" si="9"/>
        <v/>
      </c>
      <c r="V10" s="350" t="str">
        <f t="shared" si="15"/>
        <v/>
      </c>
      <c r="W10" s="532" t="str">
        <f t="shared" si="10"/>
        <v/>
      </c>
      <c r="X10" s="472" t="str">
        <f t="shared" si="11"/>
        <v/>
      </c>
      <c r="Y10" s="170" t="str">
        <f t="shared" si="12"/>
        <v/>
      </c>
      <c r="Z10" s="159"/>
      <c r="AA10" s="171">
        <f t="shared" si="16"/>
        <v>13.2</v>
      </c>
      <c r="AB10" s="166">
        <f t="shared" si="17"/>
        <v>17.600000000000001</v>
      </c>
      <c r="AC10" s="166">
        <f t="shared" si="18"/>
        <v>22</v>
      </c>
      <c r="AD10" s="166">
        <f t="shared" si="19"/>
        <v>26.4</v>
      </c>
      <c r="AE10" s="441">
        <f t="shared" si="20"/>
        <v>35.200000000000003</v>
      </c>
    </row>
    <row r="11" spans="1:31" ht="14" x14ac:dyDescent="0.2">
      <c r="A11" s="71"/>
      <c r="B11" s="111">
        <v>5</v>
      </c>
      <c r="C11" s="112"/>
      <c r="D11" s="113" t="str">
        <f t="shared" si="0"/>
        <v/>
      </c>
      <c r="E11" s="181" t="str">
        <f t="shared" si="1"/>
        <v/>
      </c>
      <c r="F11" s="114">
        <v>5</v>
      </c>
      <c r="G11" s="115"/>
      <c r="H11" s="116" t="str">
        <f t="shared" si="2"/>
        <v/>
      </c>
      <c r="I11" s="117" t="str">
        <f t="shared" si="13"/>
        <v/>
      </c>
      <c r="J11" s="118"/>
      <c r="K11" s="119" t="str">
        <f t="shared" si="3"/>
        <v/>
      </c>
      <c r="L11" s="120" t="str">
        <f t="shared" si="4"/>
        <v/>
      </c>
      <c r="M11" s="121" t="str">
        <f t="shared" si="5"/>
        <v/>
      </c>
      <c r="N11" s="122" t="str">
        <f t="shared" si="6"/>
        <v/>
      </c>
      <c r="O11" s="398">
        <f t="shared" si="14"/>
        <v>16.8</v>
      </c>
      <c r="P11" s="302"/>
      <c r="Q11" s="125"/>
      <c r="R11" s="151"/>
      <c r="S11" s="167" t="str">
        <f t="shared" si="7"/>
        <v/>
      </c>
      <c r="T11" s="168" t="str">
        <f t="shared" si="8"/>
        <v/>
      </c>
      <c r="U11" s="169" t="str">
        <f t="shared" si="9"/>
        <v/>
      </c>
      <c r="V11" s="350" t="str">
        <f t="shared" si="15"/>
        <v/>
      </c>
      <c r="W11" s="532" t="str">
        <f t="shared" si="10"/>
        <v/>
      </c>
      <c r="X11" s="472" t="str">
        <f t="shared" si="11"/>
        <v/>
      </c>
      <c r="Y11" s="170" t="str">
        <f t="shared" si="12"/>
        <v/>
      </c>
      <c r="Z11" s="159"/>
      <c r="AA11" s="171">
        <f t="shared" si="16"/>
        <v>12.6</v>
      </c>
      <c r="AB11" s="166">
        <f t="shared" si="17"/>
        <v>16.8</v>
      </c>
      <c r="AC11" s="166">
        <f t="shared" si="18"/>
        <v>21</v>
      </c>
      <c r="AD11" s="166">
        <f t="shared" si="19"/>
        <v>25.2</v>
      </c>
      <c r="AE11" s="441">
        <f t="shared" si="20"/>
        <v>33.6</v>
      </c>
    </row>
    <row r="12" spans="1:31" ht="14" x14ac:dyDescent="0.2">
      <c r="A12" s="71"/>
      <c r="B12" s="88">
        <v>6</v>
      </c>
      <c r="C12" s="89"/>
      <c r="D12" s="145" t="str">
        <f t="shared" si="0"/>
        <v/>
      </c>
      <c r="E12" s="179" t="str">
        <f t="shared" ref="E12:E21" si="21">IF($I$6="Ⅰ",S12,IF($I$6="Ⅱ",T12,IF($I$6="Ⅲ",U12,"")))</f>
        <v/>
      </c>
      <c r="F12" s="91">
        <v>6</v>
      </c>
      <c r="G12" s="92"/>
      <c r="H12" s="89" t="str">
        <f t="shared" ref="H12:H26" si="22">IFERROR(IF(G12-$Q$2&lt;=0,"",(G12-$Q$2)*86400),"")</f>
        <v/>
      </c>
      <c r="I12" s="93" t="str">
        <f t="shared" si="13"/>
        <v/>
      </c>
      <c r="J12" s="91"/>
      <c r="K12" s="94" t="str">
        <f t="shared" ref="K12:K26" si="23">IFERROR(H12*(1+0.01*J12)-I12*$N$3,"")</f>
        <v/>
      </c>
      <c r="L12" s="92" t="str">
        <f t="shared" ref="L12:L26" si="24">IFERROR((K12-$K$7)/86400,"")</f>
        <v/>
      </c>
      <c r="M12" s="95" t="str">
        <f t="shared" ref="M12:M26" si="25">IFERROR((K12-$K$7)/$N$3,"")</f>
        <v/>
      </c>
      <c r="N12" s="96" t="str">
        <f t="shared" ref="N12:N26" si="26">IFERROR($N$3/(H12/3600),"")</f>
        <v/>
      </c>
      <c r="O12" s="446">
        <f t="shared" si="14"/>
        <v>16</v>
      </c>
      <c r="P12" s="303"/>
      <c r="Q12" s="98"/>
      <c r="R12" s="151"/>
      <c r="S12" s="167" t="str">
        <f t="shared" si="7"/>
        <v/>
      </c>
      <c r="T12" s="168" t="str">
        <f t="shared" si="8"/>
        <v/>
      </c>
      <c r="U12" s="169" t="str">
        <f t="shared" si="9"/>
        <v/>
      </c>
      <c r="V12" s="350" t="str">
        <f t="shared" si="15"/>
        <v/>
      </c>
      <c r="W12" s="532" t="str">
        <f t="shared" si="10"/>
        <v/>
      </c>
      <c r="X12" s="472" t="str">
        <f t="shared" si="11"/>
        <v/>
      </c>
      <c r="Y12" s="170" t="str">
        <f t="shared" si="12"/>
        <v/>
      </c>
      <c r="Z12" s="159"/>
      <c r="AA12" s="171">
        <f t="shared" si="16"/>
        <v>12</v>
      </c>
      <c r="AB12" s="166">
        <f t="shared" si="17"/>
        <v>16</v>
      </c>
      <c r="AC12" s="166">
        <f t="shared" si="18"/>
        <v>20</v>
      </c>
      <c r="AD12" s="166">
        <f t="shared" si="19"/>
        <v>24</v>
      </c>
      <c r="AE12" s="441">
        <f t="shared" si="20"/>
        <v>32</v>
      </c>
    </row>
    <row r="13" spans="1:31" ht="14" x14ac:dyDescent="0.2">
      <c r="A13" s="71"/>
      <c r="B13" s="99">
        <v>7</v>
      </c>
      <c r="C13" s="100"/>
      <c r="D13" s="101" t="str">
        <f t="shared" si="0"/>
        <v/>
      </c>
      <c r="E13" s="180" t="str">
        <f t="shared" si="21"/>
        <v/>
      </c>
      <c r="F13" s="102">
        <v>7</v>
      </c>
      <c r="G13" s="103"/>
      <c r="H13" s="100" t="str">
        <f t="shared" si="22"/>
        <v/>
      </c>
      <c r="I13" s="104" t="str">
        <f t="shared" si="13"/>
        <v/>
      </c>
      <c r="J13" s="102"/>
      <c r="K13" s="105" t="str">
        <f t="shared" si="23"/>
        <v/>
      </c>
      <c r="L13" s="103" t="str">
        <f t="shared" si="24"/>
        <v/>
      </c>
      <c r="M13" s="106" t="str">
        <f t="shared" si="25"/>
        <v/>
      </c>
      <c r="N13" s="107" t="str">
        <f t="shared" si="26"/>
        <v/>
      </c>
      <c r="O13" s="380">
        <f t="shared" si="14"/>
        <v>15.2</v>
      </c>
      <c r="P13" s="109"/>
      <c r="Q13" s="110"/>
      <c r="R13" s="151"/>
      <c r="S13" s="167" t="str">
        <f t="shared" si="7"/>
        <v/>
      </c>
      <c r="T13" s="168" t="str">
        <f t="shared" si="8"/>
        <v/>
      </c>
      <c r="U13" s="169" t="str">
        <f t="shared" si="9"/>
        <v/>
      </c>
      <c r="V13" s="350" t="str">
        <f t="shared" si="15"/>
        <v/>
      </c>
      <c r="W13" s="532" t="str">
        <f t="shared" si="10"/>
        <v/>
      </c>
      <c r="X13" s="472" t="str">
        <f t="shared" si="11"/>
        <v/>
      </c>
      <c r="Y13" s="170" t="str">
        <f t="shared" si="12"/>
        <v/>
      </c>
      <c r="Z13" s="159"/>
      <c r="AA13" s="171">
        <f t="shared" si="16"/>
        <v>11.4</v>
      </c>
      <c r="AB13" s="166">
        <f t="shared" si="17"/>
        <v>15.2</v>
      </c>
      <c r="AC13" s="166">
        <f t="shared" si="18"/>
        <v>19</v>
      </c>
      <c r="AD13" s="166">
        <f t="shared" si="19"/>
        <v>22.8</v>
      </c>
      <c r="AE13" s="441">
        <f t="shared" si="20"/>
        <v>30.4</v>
      </c>
    </row>
    <row r="14" spans="1:31" ht="14" x14ac:dyDescent="0.2">
      <c r="A14" s="71"/>
      <c r="B14" s="99">
        <v>8</v>
      </c>
      <c r="C14" s="100"/>
      <c r="D14" s="101" t="str">
        <f t="shared" si="0"/>
        <v/>
      </c>
      <c r="E14" s="180" t="str">
        <f t="shared" si="21"/>
        <v/>
      </c>
      <c r="F14" s="102">
        <v>8</v>
      </c>
      <c r="G14" s="103"/>
      <c r="H14" s="100" t="str">
        <f t="shared" si="22"/>
        <v/>
      </c>
      <c r="I14" s="104" t="str">
        <f t="shared" si="13"/>
        <v/>
      </c>
      <c r="J14" s="102"/>
      <c r="K14" s="105" t="str">
        <f t="shared" si="23"/>
        <v/>
      </c>
      <c r="L14" s="103" t="str">
        <f t="shared" si="24"/>
        <v/>
      </c>
      <c r="M14" s="106" t="str">
        <f t="shared" si="25"/>
        <v/>
      </c>
      <c r="N14" s="107" t="str">
        <f t="shared" si="26"/>
        <v/>
      </c>
      <c r="O14" s="380">
        <f t="shared" si="14"/>
        <v>14.4</v>
      </c>
      <c r="P14" s="142"/>
      <c r="Q14" s="110"/>
      <c r="R14" s="151"/>
      <c r="S14" s="167" t="str">
        <f t="shared" si="7"/>
        <v/>
      </c>
      <c r="T14" s="168" t="str">
        <f t="shared" si="8"/>
        <v/>
      </c>
      <c r="U14" s="169" t="str">
        <f t="shared" si="9"/>
        <v/>
      </c>
      <c r="V14" s="350" t="str">
        <f t="shared" si="15"/>
        <v/>
      </c>
      <c r="W14" s="532" t="str">
        <f t="shared" si="10"/>
        <v/>
      </c>
      <c r="X14" s="472" t="str">
        <f t="shared" si="11"/>
        <v/>
      </c>
      <c r="Y14" s="170" t="str">
        <f t="shared" si="12"/>
        <v/>
      </c>
      <c r="Z14" s="159"/>
      <c r="AA14" s="171">
        <f t="shared" si="16"/>
        <v>10.8</v>
      </c>
      <c r="AB14" s="166">
        <f t="shared" si="17"/>
        <v>14.4</v>
      </c>
      <c r="AC14" s="166">
        <f t="shared" si="18"/>
        <v>18</v>
      </c>
      <c r="AD14" s="166">
        <f t="shared" si="19"/>
        <v>21.6</v>
      </c>
      <c r="AE14" s="441">
        <f t="shared" si="20"/>
        <v>28.8</v>
      </c>
    </row>
    <row r="15" spans="1:31" ht="14" x14ac:dyDescent="0.2">
      <c r="A15" s="71"/>
      <c r="B15" s="99">
        <v>9</v>
      </c>
      <c r="C15" s="100"/>
      <c r="D15" s="101" t="str">
        <f t="shared" si="0"/>
        <v/>
      </c>
      <c r="E15" s="180" t="str">
        <f t="shared" si="21"/>
        <v/>
      </c>
      <c r="F15" s="102">
        <v>9</v>
      </c>
      <c r="G15" s="103"/>
      <c r="H15" s="100" t="str">
        <f t="shared" si="22"/>
        <v/>
      </c>
      <c r="I15" s="104" t="str">
        <f t="shared" si="13"/>
        <v/>
      </c>
      <c r="J15" s="102"/>
      <c r="K15" s="105" t="str">
        <f t="shared" si="23"/>
        <v/>
      </c>
      <c r="L15" s="103" t="str">
        <f t="shared" si="24"/>
        <v/>
      </c>
      <c r="M15" s="106" t="str">
        <f t="shared" si="25"/>
        <v/>
      </c>
      <c r="N15" s="107" t="str">
        <f t="shared" si="26"/>
        <v/>
      </c>
      <c r="O15" s="380">
        <f t="shared" si="14"/>
        <v>13.6</v>
      </c>
      <c r="P15" s="304"/>
      <c r="Q15" s="110"/>
      <c r="R15" s="151"/>
      <c r="S15" s="167" t="str">
        <f t="shared" si="7"/>
        <v/>
      </c>
      <c r="T15" s="168" t="str">
        <f t="shared" si="8"/>
        <v/>
      </c>
      <c r="U15" s="169" t="str">
        <f t="shared" si="9"/>
        <v/>
      </c>
      <c r="V15" s="350" t="str">
        <f t="shared" si="15"/>
        <v/>
      </c>
      <c r="W15" s="532" t="str">
        <f t="shared" si="10"/>
        <v/>
      </c>
      <c r="X15" s="472" t="str">
        <f t="shared" si="11"/>
        <v/>
      </c>
      <c r="Y15" s="170" t="str">
        <f t="shared" si="12"/>
        <v/>
      </c>
      <c r="Z15" s="159"/>
      <c r="AA15" s="171">
        <f t="shared" si="16"/>
        <v>10.199999999999999</v>
      </c>
      <c r="AB15" s="166">
        <f t="shared" si="17"/>
        <v>13.6</v>
      </c>
      <c r="AC15" s="166">
        <f t="shared" si="18"/>
        <v>17</v>
      </c>
      <c r="AD15" s="166">
        <f t="shared" si="19"/>
        <v>20.399999999999999</v>
      </c>
      <c r="AE15" s="441">
        <f t="shared" si="20"/>
        <v>27.2</v>
      </c>
    </row>
    <row r="16" spans="1:31" ht="14" x14ac:dyDescent="0.2">
      <c r="A16" s="71"/>
      <c r="B16" s="111">
        <v>10</v>
      </c>
      <c r="C16" s="112"/>
      <c r="D16" s="113" t="str">
        <f t="shared" si="0"/>
        <v/>
      </c>
      <c r="E16" s="181" t="str">
        <f t="shared" si="21"/>
        <v/>
      </c>
      <c r="F16" s="114">
        <v>10</v>
      </c>
      <c r="G16" s="115"/>
      <c r="H16" s="116" t="str">
        <f t="shared" si="22"/>
        <v/>
      </c>
      <c r="I16" s="117" t="str">
        <f t="shared" si="13"/>
        <v/>
      </c>
      <c r="J16" s="118"/>
      <c r="K16" s="119" t="str">
        <f t="shared" si="23"/>
        <v/>
      </c>
      <c r="L16" s="120" t="str">
        <f t="shared" si="24"/>
        <v/>
      </c>
      <c r="M16" s="121" t="str">
        <f t="shared" si="25"/>
        <v/>
      </c>
      <c r="N16" s="122" t="str">
        <f t="shared" si="26"/>
        <v/>
      </c>
      <c r="O16" s="398">
        <f t="shared" si="14"/>
        <v>12.8</v>
      </c>
      <c r="P16" s="177"/>
      <c r="Q16" s="125"/>
      <c r="R16" s="151"/>
      <c r="S16" s="167" t="str">
        <f t="shared" si="7"/>
        <v/>
      </c>
      <c r="T16" s="168" t="str">
        <f t="shared" si="8"/>
        <v/>
      </c>
      <c r="U16" s="169" t="str">
        <f t="shared" si="9"/>
        <v/>
      </c>
      <c r="V16" s="350" t="str">
        <f t="shared" si="15"/>
        <v/>
      </c>
      <c r="W16" s="532" t="str">
        <f t="shared" si="10"/>
        <v/>
      </c>
      <c r="X16" s="472" t="str">
        <f t="shared" si="11"/>
        <v/>
      </c>
      <c r="Y16" s="170" t="str">
        <f t="shared" si="12"/>
        <v/>
      </c>
      <c r="Z16" s="159"/>
      <c r="AA16" s="171">
        <f t="shared" si="16"/>
        <v>9.6</v>
      </c>
      <c r="AB16" s="166">
        <f t="shared" si="17"/>
        <v>12.8</v>
      </c>
      <c r="AC16" s="166">
        <f t="shared" si="18"/>
        <v>16</v>
      </c>
      <c r="AD16" s="166">
        <f t="shared" si="19"/>
        <v>19.2</v>
      </c>
      <c r="AE16" s="441">
        <f t="shared" si="20"/>
        <v>25.6</v>
      </c>
    </row>
    <row r="17" spans="1:31" ht="14" x14ac:dyDescent="0.2">
      <c r="A17" s="71"/>
      <c r="B17" s="88">
        <v>11</v>
      </c>
      <c r="C17" s="89"/>
      <c r="D17" s="145" t="str">
        <f t="shared" si="0"/>
        <v/>
      </c>
      <c r="E17" s="179" t="str">
        <f t="shared" si="21"/>
        <v/>
      </c>
      <c r="F17" s="91">
        <v>11</v>
      </c>
      <c r="G17" s="92"/>
      <c r="H17" s="89" t="str">
        <f t="shared" si="22"/>
        <v/>
      </c>
      <c r="I17" s="93" t="str">
        <f t="shared" si="13"/>
        <v/>
      </c>
      <c r="J17" s="91"/>
      <c r="K17" s="94" t="str">
        <f t="shared" si="23"/>
        <v/>
      </c>
      <c r="L17" s="92" t="str">
        <f t="shared" si="24"/>
        <v/>
      </c>
      <c r="M17" s="95" t="str">
        <f t="shared" si="25"/>
        <v/>
      </c>
      <c r="N17" s="96" t="str">
        <f t="shared" si="26"/>
        <v/>
      </c>
      <c r="O17" s="446">
        <f t="shared" si="14"/>
        <v>12</v>
      </c>
      <c r="P17" s="178"/>
      <c r="Q17" s="98"/>
      <c r="R17" s="151"/>
      <c r="S17" s="167" t="str">
        <f t="shared" si="7"/>
        <v/>
      </c>
      <c r="T17" s="168" t="str">
        <f t="shared" si="8"/>
        <v/>
      </c>
      <c r="U17" s="169" t="str">
        <f t="shared" si="9"/>
        <v/>
      </c>
      <c r="V17" s="350" t="str">
        <f t="shared" si="15"/>
        <v/>
      </c>
      <c r="W17" s="532" t="str">
        <f t="shared" si="10"/>
        <v/>
      </c>
      <c r="X17" s="472" t="str">
        <f t="shared" si="11"/>
        <v/>
      </c>
      <c r="Y17" s="170" t="str">
        <f t="shared" si="12"/>
        <v/>
      </c>
      <c r="Z17" s="159"/>
      <c r="AA17" s="171">
        <f t="shared" si="16"/>
        <v>9</v>
      </c>
      <c r="AB17" s="166">
        <f t="shared" si="17"/>
        <v>12</v>
      </c>
      <c r="AC17" s="166">
        <f t="shared" si="18"/>
        <v>15</v>
      </c>
      <c r="AD17" s="166">
        <f t="shared" si="19"/>
        <v>18</v>
      </c>
      <c r="AE17" s="441">
        <f t="shared" si="20"/>
        <v>24</v>
      </c>
    </row>
    <row r="18" spans="1:31" ht="14" x14ac:dyDescent="0.2">
      <c r="A18" s="71"/>
      <c r="B18" s="99">
        <v>12</v>
      </c>
      <c r="C18" s="100"/>
      <c r="D18" s="101" t="str">
        <f t="shared" si="0"/>
        <v/>
      </c>
      <c r="E18" s="180" t="str">
        <f t="shared" si="21"/>
        <v/>
      </c>
      <c r="F18" s="102">
        <v>12</v>
      </c>
      <c r="G18" s="103"/>
      <c r="H18" s="100" t="str">
        <f t="shared" si="22"/>
        <v/>
      </c>
      <c r="I18" s="104" t="str">
        <f t="shared" si="13"/>
        <v/>
      </c>
      <c r="J18" s="102"/>
      <c r="K18" s="105" t="str">
        <f t="shared" si="23"/>
        <v/>
      </c>
      <c r="L18" s="103" t="str">
        <f t="shared" si="24"/>
        <v/>
      </c>
      <c r="M18" s="106" t="str">
        <f t="shared" si="25"/>
        <v/>
      </c>
      <c r="N18" s="107" t="str">
        <f t="shared" si="26"/>
        <v/>
      </c>
      <c r="O18" s="380">
        <f t="shared" si="14"/>
        <v>11.2</v>
      </c>
      <c r="P18" s="142"/>
      <c r="Q18" s="110"/>
      <c r="R18" s="151"/>
      <c r="S18" s="167" t="str">
        <f t="shared" si="7"/>
        <v/>
      </c>
      <c r="T18" s="168" t="str">
        <f t="shared" si="8"/>
        <v/>
      </c>
      <c r="U18" s="169" t="str">
        <f t="shared" si="9"/>
        <v/>
      </c>
      <c r="V18" s="350" t="str">
        <f t="shared" si="15"/>
        <v/>
      </c>
      <c r="W18" s="532" t="str">
        <f t="shared" si="10"/>
        <v/>
      </c>
      <c r="X18" s="472" t="str">
        <f t="shared" si="11"/>
        <v/>
      </c>
      <c r="Y18" s="170" t="str">
        <f t="shared" si="12"/>
        <v/>
      </c>
      <c r="Z18" s="159"/>
      <c r="AA18" s="171">
        <f t="shared" si="16"/>
        <v>8.4</v>
      </c>
      <c r="AB18" s="166">
        <f t="shared" si="17"/>
        <v>11.2</v>
      </c>
      <c r="AC18" s="166">
        <f t="shared" si="18"/>
        <v>14</v>
      </c>
      <c r="AD18" s="166">
        <f t="shared" si="19"/>
        <v>16.8</v>
      </c>
      <c r="AE18" s="441">
        <f t="shared" si="20"/>
        <v>22.4</v>
      </c>
    </row>
    <row r="19" spans="1:31" ht="14" x14ac:dyDescent="0.2">
      <c r="A19" s="71"/>
      <c r="B19" s="99">
        <v>13</v>
      </c>
      <c r="C19" s="100"/>
      <c r="D19" s="101" t="str">
        <f t="shared" si="0"/>
        <v/>
      </c>
      <c r="E19" s="180" t="str">
        <f t="shared" si="21"/>
        <v/>
      </c>
      <c r="F19" s="102">
        <v>13</v>
      </c>
      <c r="G19" s="103"/>
      <c r="H19" s="100" t="str">
        <f t="shared" si="22"/>
        <v/>
      </c>
      <c r="I19" s="104" t="str">
        <f t="shared" si="13"/>
        <v/>
      </c>
      <c r="J19" s="102"/>
      <c r="K19" s="105" t="str">
        <f t="shared" si="23"/>
        <v/>
      </c>
      <c r="L19" s="103" t="str">
        <f t="shared" si="24"/>
        <v/>
      </c>
      <c r="M19" s="106" t="str">
        <f t="shared" si="25"/>
        <v/>
      </c>
      <c r="N19" s="107" t="str">
        <f t="shared" si="26"/>
        <v/>
      </c>
      <c r="O19" s="380">
        <f t="shared" si="14"/>
        <v>10.4</v>
      </c>
      <c r="P19" s="142"/>
      <c r="Q19" s="110"/>
      <c r="R19" s="151"/>
      <c r="S19" s="167" t="str">
        <f t="shared" si="7"/>
        <v/>
      </c>
      <c r="T19" s="168" t="str">
        <f t="shared" si="8"/>
        <v/>
      </c>
      <c r="U19" s="169" t="str">
        <f t="shared" si="9"/>
        <v/>
      </c>
      <c r="V19" s="350" t="str">
        <f t="shared" si="15"/>
        <v/>
      </c>
      <c r="W19" s="532" t="str">
        <f t="shared" si="10"/>
        <v/>
      </c>
      <c r="X19" s="472" t="str">
        <f t="shared" si="11"/>
        <v/>
      </c>
      <c r="Y19" s="170" t="str">
        <f t="shared" si="12"/>
        <v/>
      </c>
      <c r="Z19" s="159"/>
      <c r="AA19" s="171">
        <f t="shared" si="16"/>
        <v>7.8</v>
      </c>
      <c r="AB19" s="166">
        <f t="shared" si="17"/>
        <v>10.4</v>
      </c>
      <c r="AC19" s="166">
        <f t="shared" si="18"/>
        <v>13</v>
      </c>
      <c r="AD19" s="166">
        <f t="shared" si="19"/>
        <v>15.6</v>
      </c>
      <c r="AE19" s="441">
        <f t="shared" si="20"/>
        <v>20.8</v>
      </c>
    </row>
    <row r="20" spans="1:31" ht="14" x14ac:dyDescent="0.2">
      <c r="A20" s="71"/>
      <c r="B20" s="99">
        <v>14</v>
      </c>
      <c r="C20" s="100"/>
      <c r="D20" s="101" t="str">
        <f t="shared" si="0"/>
        <v/>
      </c>
      <c r="E20" s="180" t="str">
        <f t="shared" si="21"/>
        <v/>
      </c>
      <c r="F20" s="102">
        <v>14</v>
      </c>
      <c r="G20" s="103"/>
      <c r="H20" s="100" t="str">
        <f t="shared" si="22"/>
        <v/>
      </c>
      <c r="I20" s="104" t="str">
        <f t="shared" si="13"/>
        <v/>
      </c>
      <c r="J20" s="102"/>
      <c r="K20" s="105" t="str">
        <f t="shared" si="23"/>
        <v/>
      </c>
      <c r="L20" s="103" t="str">
        <f t="shared" si="24"/>
        <v/>
      </c>
      <c r="M20" s="106" t="str">
        <f t="shared" si="25"/>
        <v/>
      </c>
      <c r="N20" s="107" t="str">
        <f t="shared" si="26"/>
        <v/>
      </c>
      <c r="O20" s="380">
        <f t="shared" si="14"/>
        <v>9.6</v>
      </c>
      <c r="P20" s="305"/>
      <c r="Q20" s="110"/>
      <c r="R20" s="151"/>
      <c r="S20" s="167" t="str">
        <f t="shared" si="7"/>
        <v/>
      </c>
      <c r="T20" s="168" t="str">
        <f t="shared" si="8"/>
        <v/>
      </c>
      <c r="U20" s="169" t="str">
        <f t="shared" si="9"/>
        <v/>
      </c>
      <c r="V20" s="350" t="str">
        <f t="shared" si="15"/>
        <v/>
      </c>
      <c r="W20" s="532" t="str">
        <f t="shared" si="10"/>
        <v/>
      </c>
      <c r="X20" s="472" t="str">
        <f t="shared" si="11"/>
        <v/>
      </c>
      <c r="Y20" s="170" t="str">
        <f t="shared" si="12"/>
        <v/>
      </c>
      <c r="Z20" s="159"/>
      <c r="AA20" s="171">
        <f t="shared" si="16"/>
        <v>7.2</v>
      </c>
      <c r="AB20" s="166">
        <f t="shared" si="17"/>
        <v>9.6</v>
      </c>
      <c r="AC20" s="166">
        <f t="shared" si="18"/>
        <v>12</v>
      </c>
      <c r="AD20" s="166">
        <f t="shared" si="19"/>
        <v>14.4</v>
      </c>
      <c r="AE20" s="441">
        <f t="shared" si="20"/>
        <v>19.2</v>
      </c>
    </row>
    <row r="21" spans="1:31" ht="14" x14ac:dyDescent="0.2">
      <c r="A21" s="71"/>
      <c r="B21" s="111">
        <v>15</v>
      </c>
      <c r="C21" s="112"/>
      <c r="D21" s="113" t="str">
        <f t="shared" si="0"/>
        <v/>
      </c>
      <c r="E21" s="181" t="str">
        <f t="shared" si="21"/>
        <v/>
      </c>
      <c r="F21" s="114">
        <v>15</v>
      </c>
      <c r="G21" s="115"/>
      <c r="H21" s="116" t="str">
        <f t="shared" si="22"/>
        <v/>
      </c>
      <c r="I21" s="117" t="str">
        <f t="shared" si="13"/>
        <v/>
      </c>
      <c r="J21" s="118"/>
      <c r="K21" s="119" t="str">
        <f t="shared" si="23"/>
        <v/>
      </c>
      <c r="L21" s="120" t="str">
        <f t="shared" si="24"/>
        <v/>
      </c>
      <c r="M21" s="121" t="str">
        <f t="shared" si="25"/>
        <v/>
      </c>
      <c r="N21" s="122" t="str">
        <f t="shared" si="26"/>
        <v/>
      </c>
      <c r="O21" s="398">
        <f t="shared" si="14"/>
        <v>8.8000000000000007</v>
      </c>
      <c r="P21" s="177"/>
      <c r="Q21" s="125"/>
      <c r="R21" s="151"/>
      <c r="S21" s="167" t="str">
        <f t="shared" si="7"/>
        <v/>
      </c>
      <c r="T21" s="168" t="str">
        <f t="shared" si="8"/>
        <v/>
      </c>
      <c r="U21" s="169" t="str">
        <f t="shared" si="9"/>
        <v/>
      </c>
      <c r="V21" s="350" t="str">
        <f t="shared" si="15"/>
        <v/>
      </c>
      <c r="W21" s="532" t="str">
        <f t="shared" si="10"/>
        <v/>
      </c>
      <c r="X21" s="472" t="str">
        <f t="shared" si="11"/>
        <v/>
      </c>
      <c r="Y21" s="170" t="str">
        <f t="shared" si="12"/>
        <v/>
      </c>
      <c r="Z21" s="159"/>
      <c r="AA21" s="171">
        <f t="shared" si="16"/>
        <v>6.6</v>
      </c>
      <c r="AB21" s="166">
        <f t="shared" si="17"/>
        <v>8.8000000000000007</v>
      </c>
      <c r="AC21" s="166">
        <f t="shared" si="18"/>
        <v>11</v>
      </c>
      <c r="AD21" s="166">
        <f t="shared" si="19"/>
        <v>13.2</v>
      </c>
      <c r="AE21" s="441">
        <f t="shared" si="20"/>
        <v>17.600000000000001</v>
      </c>
    </row>
    <row r="22" spans="1:31" ht="14" x14ac:dyDescent="0.2">
      <c r="A22" s="71"/>
      <c r="B22" s="140"/>
      <c r="C22" s="89"/>
      <c r="D22" s="145" t="str">
        <f t="shared" si="0"/>
        <v/>
      </c>
      <c r="E22" s="179"/>
      <c r="F22" s="134"/>
      <c r="G22" s="92"/>
      <c r="H22" s="89" t="str">
        <f t="shared" si="22"/>
        <v/>
      </c>
      <c r="I22" s="93" t="str">
        <f t="shared" si="13"/>
        <v/>
      </c>
      <c r="J22" s="91"/>
      <c r="K22" s="94" t="str">
        <f t="shared" si="23"/>
        <v/>
      </c>
      <c r="L22" s="92" t="str">
        <f t="shared" si="24"/>
        <v/>
      </c>
      <c r="M22" s="95" t="str">
        <f t="shared" si="25"/>
        <v/>
      </c>
      <c r="N22" s="96" t="str">
        <f t="shared" si="26"/>
        <v/>
      </c>
      <c r="O22" s="446" t="e">
        <f t="shared" si="14"/>
        <v>#VALUE!</v>
      </c>
      <c r="P22" s="306"/>
      <c r="Q22" s="141"/>
      <c r="R22" s="151"/>
      <c r="S22" s="167" t="str">
        <f t="shared" si="7"/>
        <v/>
      </c>
      <c r="T22" s="168" t="str">
        <f t="shared" si="8"/>
        <v/>
      </c>
      <c r="U22" s="169" t="str">
        <f t="shared" si="9"/>
        <v/>
      </c>
      <c r="V22" s="350" t="str">
        <f t="shared" si="15"/>
        <v/>
      </c>
      <c r="W22" s="532" t="str">
        <f t="shared" si="10"/>
        <v/>
      </c>
      <c r="X22" s="472" t="str">
        <f t="shared" si="11"/>
        <v/>
      </c>
      <c r="Y22" s="170" t="str">
        <f t="shared" si="12"/>
        <v/>
      </c>
      <c r="Z22" s="159"/>
      <c r="AA22" s="171" t="str">
        <f t="shared" si="16"/>
        <v/>
      </c>
      <c r="AB22" s="166" t="str">
        <f t="shared" si="17"/>
        <v/>
      </c>
      <c r="AC22" s="166" t="str">
        <f t="shared" si="18"/>
        <v/>
      </c>
      <c r="AD22" s="166" t="str">
        <f t="shared" si="19"/>
        <v/>
      </c>
      <c r="AE22" s="441" t="str">
        <f t="shared" si="20"/>
        <v/>
      </c>
    </row>
    <row r="23" spans="1:31" ht="14" x14ac:dyDescent="0.2">
      <c r="A23" s="71"/>
      <c r="B23" s="99"/>
      <c r="C23" s="100"/>
      <c r="D23" s="101" t="str">
        <f t="shared" si="0"/>
        <v/>
      </c>
      <c r="E23" s="180"/>
      <c r="F23" s="102"/>
      <c r="G23" s="103"/>
      <c r="H23" s="100" t="str">
        <f t="shared" si="22"/>
        <v/>
      </c>
      <c r="I23" s="104" t="str">
        <f t="shared" si="13"/>
        <v/>
      </c>
      <c r="J23" s="102"/>
      <c r="K23" s="105" t="str">
        <f t="shared" si="23"/>
        <v/>
      </c>
      <c r="L23" s="103" t="str">
        <f t="shared" si="24"/>
        <v/>
      </c>
      <c r="M23" s="106" t="str">
        <f t="shared" si="25"/>
        <v/>
      </c>
      <c r="N23" s="107" t="str">
        <f t="shared" si="26"/>
        <v/>
      </c>
      <c r="O23" s="380" t="e">
        <f t="shared" si="14"/>
        <v>#VALUE!</v>
      </c>
      <c r="P23" s="142"/>
      <c r="Q23" s="110"/>
      <c r="R23" s="151"/>
      <c r="S23" s="167" t="str">
        <f t="shared" si="7"/>
        <v/>
      </c>
      <c r="T23" s="168" t="str">
        <f t="shared" si="8"/>
        <v/>
      </c>
      <c r="U23" s="169" t="str">
        <f t="shared" si="9"/>
        <v/>
      </c>
      <c r="V23" s="350" t="str">
        <f t="shared" si="15"/>
        <v/>
      </c>
      <c r="W23" s="532" t="str">
        <f t="shared" si="10"/>
        <v/>
      </c>
      <c r="X23" s="472" t="str">
        <f t="shared" si="11"/>
        <v/>
      </c>
      <c r="Y23" s="170" t="str">
        <f t="shared" si="12"/>
        <v/>
      </c>
      <c r="Z23" s="159"/>
      <c r="AA23" s="171" t="str">
        <f t="shared" si="16"/>
        <v/>
      </c>
      <c r="AB23" s="166" t="str">
        <f t="shared" si="17"/>
        <v/>
      </c>
      <c r="AC23" s="166" t="str">
        <f t="shared" si="18"/>
        <v/>
      </c>
      <c r="AD23" s="166" t="str">
        <f t="shared" si="19"/>
        <v/>
      </c>
      <c r="AE23" s="441" t="str">
        <f t="shared" si="20"/>
        <v/>
      </c>
    </row>
    <row r="24" spans="1:31" ht="14" x14ac:dyDescent="0.2">
      <c r="A24" s="71"/>
      <c r="B24" s="140"/>
      <c r="C24" s="100"/>
      <c r="D24" s="101" t="str">
        <f t="shared" si="0"/>
        <v/>
      </c>
      <c r="E24" s="180"/>
      <c r="F24" s="102"/>
      <c r="G24" s="103"/>
      <c r="H24" s="100" t="str">
        <f t="shared" si="22"/>
        <v/>
      </c>
      <c r="I24" s="104" t="str">
        <f t="shared" si="13"/>
        <v/>
      </c>
      <c r="J24" s="102"/>
      <c r="K24" s="105" t="str">
        <f t="shared" si="23"/>
        <v/>
      </c>
      <c r="L24" s="103" t="str">
        <f t="shared" si="24"/>
        <v/>
      </c>
      <c r="M24" s="106" t="str">
        <f t="shared" si="25"/>
        <v/>
      </c>
      <c r="N24" s="107" t="str">
        <f t="shared" si="26"/>
        <v/>
      </c>
      <c r="O24" s="380" t="e">
        <f t="shared" si="14"/>
        <v>#VALUE!</v>
      </c>
      <c r="P24" s="143"/>
      <c r="Q24" s="110"/>
      <c r="R24" s="151"/>
      <c r="S24" s="167" t="str">
        <f t="shared" si="7"/>
        <v/>
      </c>
      <c r="T24" s="168" t="str">
        <f t="shared" si="8"/>
        <v/>
      </c>
      <c r="U24" s="169" t="str">
        <f t="shared" si="9"/>
        <v/>
      </c>
      <c r="V24" s="350" t="str">
        <f t="shared" si="15"/>
        <v/>
      </c>
      <c r="W24" s="532" t="str">
        <f t="shared" si="10"/>
        <v/>
      </c>
      <c r="X24" s="472" t="str">
        <f t="shared" si="11"/>
        <v/>
      </c>
      <c r="Y24" s="170" t="str">
        <f t="shared" si="12"/>
        <v/>
      </c>
      <c r="Z24" s="159"/>
      <c r="AA24" s="171" t="str">
        <f t="shared" si="16"/>
        <v/>
      </c>
      <c r="AB24" s="166" t="str">
        <f t="shared" si="17"/>
        <v/>
      </c>
      <c r="AC24" s="166" t="str">
        <f t="shared" si="18"/>
        <v/>
      </c>
      <c r="AD24" s="166" t="str">
        <f t="shared" si="19"/>
        <v/>
      </c>
      <c r="AE24" s="441" t="str">
        <f t="shared" si="20"/>
        <v/>
      </c>
    </row>
    <row r="25" spans="1:31" ht="14" x14ac:dyDescent="0.2">
      <c r="A25" s="71"/>
      <c r="B25" s="99"/>
      <c r="C25" s="100"/>
      <c r="D25" s="101" t="str">
        <f t="shared" si="0"/>
        <v/>
      </c>
      <c r="E25" s="180"/>
      <c r="F25" s="102"/>
      <c r="G25" s="103"/>
      <c r="H25" s="100" t="str">
        <f t="shared" si="22"/>
        <v/>
      </c>
      <c r="I25" s="104" t="str">
        <f t="shared" si="13"/>
        <v/>
      </c>
      <c r="J25" s="102"/>
      <c r="K25" s="105" t="str">
        <f t="shared" si="23"/>
        <v/>
      </c>
      <c r="L25" s="103" t="str">
        <f t="shared" si="24"/>
        <v/>
      </c>
      <c r="M25" s="106" t="str">
        <f t="shared" si="25"/>
        <v/>
      </c>
      <c r="N25" s="107" t="str">
        <f t="shared" si="26"/>
        <v/>
      </c>
      <c r="O25" s="380" t="e">
        <f t="shared" si="14"/>
        <v>#VALUE!</v>
      </c>
      <c r="P25" s="143"/>
      <c r="Q25" s="110"/>
      <c r="R25" s="151"/>
      <c r="S25" s="167" t="str">
        <f t="shared" si="7"/>
        <v/>
      </c>
      <c r="T25" s="168" t="str">
        <f t="shared" si="8"/>
        <v/>
      </c>
      <c r="U25" s="169" t="str">
        <f t="shared" si="9"/>
        <v/>
      </c>
      <c r="V25" s="350" t="str">
        <f t="shared" si="15"/>
        <v/>
      </c>
      <c r="W25" s="532" t="str">
        <f t="shared" si="10"/>
        <v/>
      </c>
      <c r="X25" s="472" t="str">
        <f t="shared" si="11"/>
        <v/>
      </c>
      <c r="Y25" s="170" t="str">
        <f t="shared" si="12"/>
        <v/>
      </c>
      <c r="Z25" s="159"/>
      <c r="AA25" s="171" t="str">
        <f t="shared" si="16"/>
        <v/>
      </c>
      <c r="AB25" s="166" t="str">
        <f t="shared" si="17"/>
        <v/>
      </c>
      <c r="AC25" s="166" t="str">
        <f t="shared" si="18"/>
        <v/>
      </c>
      <c r="AD25" s="166" t="str">
        <f t="shared" si="19"/>
        <v/>
      </c>
      <c r="AE25" s="441" t="str">
        <f t="shared" si="20"/>
        <v/>
      </c>
    </row>
    <row r="26" spans="1:31" ht="14" x14ac:dyDescent="0.2">
      <c r="A26" s="71"/>
      <c r="B26" s="111"/>
      <c r="C26" s="112"/>
      <c r="D26" s="113" t="str">
        <f t="shared" si="0"/>
        <v/>
      </c>
      <c r="E26" s="181"/>
      <c r="F26" s="114"/>
      <c r="G26" s="115"/>
      <c r="H26" s="116" t="str">
        <f t="shared" si="22"/>
        <v/>
      </c>
      <c r="I26" s="117" t="str">
        <f t="shared" si="13"/>
        <v/>
      </c>
      <c r="J26" s="118"/>
      <c r="K26" s="119" t="str">
        <f t="shared" si="23"/>
        <v/>
      </c>
      <c r="L26" s="120" t="str">
        <f t="shared" si="24"/>
        <v/>
      </c>
      <c r="M26" s="121" t="str">
        <f t="shared" si="25"/>
        <v/>
      </c>
      <c r="N26" s="122" t="str">
        <f t="shared" si="26"/>
        <v/>
      </c>
      <c r="O26" s="398" t="e">
        <f t="shared" si="14"/>
        <v>#VALUE!</v>
      </c>
      <c r="P26" s="144"/>
      <c r="Q26" s="125"/>
      <c r="R26" s="151"/>
      <c r="S26" s="167" t="str">
        <f t="shared" si="7"/>
        <v/>
      </c>
      <c r="T26" s="168" t="str">
        <f t="shared" si="8"/>
        <v/>
      </c>
      <c r="U26" s="169" t="str">
        <f t="shared" si="9"/>
        <v/>
      </c>
      <c r="V26" s="350" t="str">
        <f t="shared" si="15"/>
        <v/>
      </c>
      <c r="W26" s="532" t="str">
        <f t="shared" si="10"/>
        <v/>
      </c>
      <c r="X26" s="472" t="str">
        <f t="shared" si="11"/>
        <v/>
      </c>
      <c r="Y26" s="170" t="str">
        <f t="shared" si="12"/>
        <v/>
      </c>
      <c r="Z26" s="159"/>
      <c r="AA26" s="171" t="str">
        <f t="shared" si="16"/>
        <v/>
      </c>
      <c r="AB26" s="166" t="str">
        <f t="shared" si="17"/>
        <v/>
      </c>
      <c r="AC26" s="166" t="str">
        <f t="shared" si="18"/>
        <v/>
      </c>
      <c r="AD26" s="166" t="str">
        <f t="shared" si="19"/>
        <v/>
      </c>
      <c r="AE26" s="441" t="str">
        <f t="shared" si="20"/>
        <v/>
      </c>
    </row>
    <row r="27" spans="1:31" ht="14" x14ac:dyDescent="0.2">
      <c r="A27" s="71"/>
      <c r="B27" s="140"/>
      <c r="C27" s="132"/>
      <c r="D27" s="145" t="str">
        <f t="shared" si="0"/>
        <v/>
      </c>
      <c r="E27" s="134"/>
      <c r="F27" s="134"/>
      <c r="G27" s="136"/>
      <c r="H27" s="89" t="str">
        <f>IFERROR(IF(G27-$Q$2&lt;=0,"",(G27-$Q$2)*86400),"")</f>
        <v/>
      </c>
      <c r="I27" s="93" t="str">
        <f t="shared" si="13"/>
        <v/>
      </c>
      <c r="J27" s="91"/>
      <c r="K27" s="94" t="str">
        <f>IFERROR(H27*(1+0.01*J27)-I27*$N$3,"")</f>
        <v/>
      </c>
      <c r="L27" s="92" t="str">
        <f>IFERROR((K27-$K$7)/86400,"")</f>
        <v/>
      </c>
      <c r="M27" s="95" t="str">
        <f>IFERROR((K27-$K$7)/$N$3,"")</f>
        <v/>
      </c>
      <c r="N27" s="96" t="str">
        <f>IFERROR($N$3/(H27/3600),"")</f>
        <v/>
      </c>
      <c r="O27" s="166" t="e">
        <f t="shared" si="14"/>
        <v>#VALUE!</v>
      </c>
      <c r="P27" s="146"/>
      <c r="Q27" s="141"/>
      <c r="R27" s="151"/>
      <c r="S27" s="167" t="str">
        <f t="shared" si="7"/>
        <v/>
      </c>
      <c r="T27" s="168" t="str">
        <f t="shared" si="8"/>
        <v/>
      </c>
      <c r="U27" s="169" t="str">
        <f t="shared" si="9"/>
        <v/>
      </c>
      <c r="V27" s="350" t="str">
        <f t="shared" si="15"/>
        <v/>
      </c>
      <c r="W27" s="532" t="str">
        <f t="shared" si="10"/>
        <v/>
      </c>
      <c r="X27" s="472" t="str">
        <f t="shared" si="11"/>
        <v/>
      </c>
      <c r="Y27" s="170" t="str">
        <f t="shared" si="12"/>
        <v/>
      </c>
      <c r="Z27" s="159"/>
      <c r="AA27" s="171" t="str">
        <f t="shared" si="16"/>
        <v/>
      </c>
      <c r="AB27" s="166" t="str">
        <f t="shared" si="17"/>
        <v/>
      </c>
      <c r="AC27" s="166" t="str">
        <f t="shared" ref="AC27:AC31" si="27">IF(ISBLANK(A27),"",IFERROR(25*($P$3+1-$B27)/$P$3,"25.0"))</f>
        <v/>
      </c>
      <c r="AD27" s="437" t="str">
        <f t="shared" ref="AD27:AD31" si="28">IF(ISBLANK(B27),"",IFERROR(30*($P$3-$B27)/($P$3-1)+10,"30.0"))</f>
        <v/>
      </c>
      <c r="AE27" s="441" t="str">
        <f t="shared" si="20"/>
        <v/>
      </c>
    </row>
    <row r="28" spans="1:31" ht="14.25" customHeight="1" x14ac:dyDescent="0.2">
      <c r="A28" s="71"/>
      <c r="B28" s="99"/>
      <c r="C28" s="100"/>
      <c r="D28" s="101" t="str">
        <f t="shared" si="0"/>
        <v/>
      </c>
      <c r="E28" s="102"/>
      <c r="F28" s="102"/>
      <c r="G28" s="103"/>
      <c r="H28" s="100"/>
      <c r="I28" s="104" t="str">
        <f t="shared" si="13"/>
        <v/>
      </c>
      <c r="J28" s="102"/>
      <c r="K28" s="105"/>
      <c r="L28" s="103"/>
      <c r="M28" s="106"/>
      <c r="N28" s="107"/>
      <c r="O28" s="166" t="e">
        <f t="shared" si="14"/>
        <v>#VALUE!</v>
      </c>
      <c r="P28" s="147"/>
      <c r="Q28" s="110"/>
      <c r="R28" s="151"/>
      <c r="S28" s="167" t="str">
        <f t="shared" si="7"/>
        <v/>
      </c>
      <c r="T28" s="168" t="str">
        <f t="shared" si="8"/>
        <v/>
      </c>
      <c r="U28" s="169" t="str">
        <f t="shared" si="9"/>
        <v/>
      </c>
      <c r="V28" s="350" t="str">
        <f t="shared" si="15"/>
        <v/>
      </c>
      <c r="W28" s="532" t="str">
        <f t="shared" si="10"/>
        <v/>
      </c>
      <c r="X28" s="472" t="str">
        <f t="shared" si="11"/>
        <v/>
      </c>
      <c r="Y28" s="170" t="str">
        <f t="shared" si="12"/>
        <v/>
      </c>
      <c r="Z28" s="159"/>
      <c r="AA28" s="171" t="str">
        <f t="shared" si="16"/>
        <v/>
      </c>
      <c r="AB28" s="166" t="str">
        <f t="shared" si="17"/>
        <v/>
      </c>
      <c r="AC28" s="166" t="str">
        <f t="shared" si="27"/>
        <v/>
      </c>
      <c r="AD28" s="437" t="str">
        <f t="shared" si="28"/>
        <v/>
      </c>
      <c r="AE28" s="441" t="str">
        <f t="shared" si="20"/>
        <v/>
      </c>
    </row>
    <row r="29" spans="1:31" ht="14" x14ac:dyDescent="0.2">
      <c r="A29" s="71"/>
      <c r="B29" s="99"/>
      <c r="C29" s="100"/>
      <c r="D29" s="101" t="str">
        <f t="shared" si="0"/>
        <v/>
      </c>
      <c r="E29" s="102"/>
      <c r="F29" s="102"/>
      <c r="G29" s="103"/>
      <c r="H29" s="100"/>
      <c r="I29" s="104" t="str">
        <f t="shared" si="13"/>
        <v/>
      </c>
      <c r="J29" s="102"/>
      <c r="K29" s="105"/>
      <c r="L29" s="103"/>
      <c r="M29" s="106"/>
      <c r="N29" s="107"/>
      <c r="O29" s="166" t="e">
        <f t="shared" si="14"/>
        <v>#VALUE!</v>
      </c>
      <c r="P29" s="143"/>
      <c r="Q29" s="110"/>
      <c r="R29" s="151"/>
      <c r="S29" s="167" t="str">
        <f t="shared" si="7"/>
        <v/>
      </c>
      <c r="T29" s="168" t="str">
        <f t="shared" si="8"/>
        <v/>
      </c>
      <c r="U29" s="169" t="str">
        <f t="shared" si="9"/>
        <v/>
      </c>
      <c r="V29" s="350" t="str">
        <f t="shared" si="15"/>
        <v/>
      </c>
      <c r="W29" s="532" t="str">
        <f t="shared" si="10"/>
        <v/>
      </c>
      <c r="X29" s="472" t="str">
        <f t="shared" si="11"/>
        <v/>
      </c>
      <c r="Y29" s="170" t="str">
        <f t="shared" si="12"/>
        <v/>
      </c>
      <c r="Z29" s="159"/>
      <c r="AA29" s="171" t="str">
        <f t="shared" si="16"/>
        <v/>
      </c>
      <c r="AB29" s="166" t="str">
        <f t="shared" si="17"/>
        <v/>
      </c>
      <c r="AC29" s="166" t="str">
        <f t="shared" si="27"/>
        <v/>
      </c>
      <c r="AD29" s="437" t="str">
        <f t="shared" si="28"/>
        <v/>
      </c>
      <c r="AE29" s="441" t="str">
        <f t="shared" si="20"/>
        <v/>
      </c>
    </row>
    <row r="30" spans="1:31" ht="14.25" customHeight="1" x14ac:dyDescent="0.2">
      <c r="A30" s="71"/>
      <c r="B30" s="99"/>
      <c r="C30" s="100"/>
      <c r="D30" s="101" t="str">
        <f t="shared" si="0"/>
        <v/>
      </c>
      <c r="E30" s="102"/>
      <c r="F30" s="102"/>
      <c r="G30" s="103"/>
      <c r="H30" s="100"/>
      <c r="I30" s="104" t="str">
        <f t="shared" si="13"/>
        <v/>
      </c>
      <c r="J30" s="102"/>
      <c r="K30" s="105"/>
      <c r="L30" s="103"/>
      <c r="M30" s="106"/>
      <c r="N30" s="107"/>
      <c r="O30" s="166" t="e">
        <f t="shared" si="14"/>
        <v>#VALUE!</v>
      </c>
      <c r="P30" s="143"/>
      <c r="Q30" s="110"/>
      <c r="R30" s="151"/>
      <c r="S30" s="167" t="str">
        <f t="shared" si="7"/>
        <v/>
      </c>
      <c r="T30" s="168" t="str">
        <f t="shared" si="8"/>
        <v/>
      </c>
      <c r="U30" s="169" t="str">
        <f t="shared" si="9"/>
        <v/>
      </c>
      <c r="V30" s="350" t="str">
        <f t="shared" si="15"/>
        <v/>
      </c>
      <c r="W30" s="532" t="str">
        <f t="shared" si="10"/>
        <v/>
      </c>
      <c r="X30" s="472" t="str">
        <f t="shared" si="11"/>
        <v/>
      </c>
      <c r="Y30" s="170" t="str">
        <f t="shared" si="12"/>
        <v/>
      </c>
      <c r="Z30" s="159"/>
      <c r="AA30" s="171" t="str">
        <f t="shared" si="16"/>
        <v/>
      </c>
      <c r="AB30" s="166" t="str">
        <f t="shared" si="17"/>
        <v/>
      </c>
      <c r="AC30" s="166" t="str">
        <f t="shared" si="27"/>
        <v/>
      </c>
      <c r="AD30" s="437" t="str">
        <f t="shared" si="28"/>
        <v/>
      </c>
      <c r="AE30" s="441" t="str">
        <f t="shared" si="20"/>
        <v/>
      </c>
    </row>
    <row r="31" spans="1:31" ht="14.5" thickBot="1" x14ac:dyDescent="0.25">
      <c r="A31" s="71"/>
      <c r="B31" s="99"/>
      <c r="C31" s="100"/>
      <c r="D31" s="113" t="str">
        <f t="shared" si="0"/>
        <v/>
      </c>
      <c r="E31" s="114"/>
      <c r="F31" s="102"/>
      <c r="G31" s="103"/>
      <c r="H31" s="112" t="str">
        <f>IFERROR(IF(G31-$Q$2&lt;=0,"",(G31-$Q$2)*86400),"")</f>
        <v/>
      </c>
      <c r="I31" s="126" t="str">
        <f t="shared" si="13"/>
        <v/>
      </c>
      <c r="J31" s="114"/>
      <c r="K31" s="128" t="str">
        <f>IFERROR(H31*(1+0.01*J31)-I31*$N$3,"")</f>
        <v/>
      </c>
      <c r="L31" s="115" t="str">
        <f>IFERROR((K31-$K$7)/86400,"")</f>
        <v/>
      </c>
      <c r="M31" s="129" t="str">
        <f>IFERROR((K31-$K$7)/$N$3,"")</f>
        <v/>
      </c>
      <c r="N31" s="130" t="str">
        <f>IFERROR($N$3/(H31/3600),"")</f>
        <v/>
      </c>
      <c r="O31" s="166" t="e">
        <f t="shared" si="14"/>
        <v>#VALUE!</v>
      </c>
      <c r="P31" s="144"/>
      <c r="Q31" s="125"/>
      <c r="R31" s="151"/>
      <c r="S31" s="172" t="str">
        <f t="shared" si="7"/>
        <v/>
      </c>
      <c r="T31" s="173" t="str">
        <f t="shared" si="8"/>
        <v/>
      </c>
      <c r="U31" s="174" t="str">
        <f t="shared" si="9"/>
        <v/>
      </c>
      <c r="V31" s="352" t="str">
        <f t="shared" si="15"/>
        <v/>
      </c>
      <c r="W31" s="423" t="str">
        <f t="shared" si="10"/>
        <v/>
      </c>
      <c r="X31" s="473" t="str">
        <f t="shared" si="11"/>
        <v/>
      </c>
      <c r="Y31" s="354" t="str">
        <f t="shared" si="12"/>
        <v/>
      </c>
      <c r="Z31" s="159"/>
      <c r="AA31" s="442" t="str">
        <f t="shared" ref="AA31" si="29">IF(ISBLANK(A31),"",IFERROR(15*($P$3+1-$B31)/$P$3,"15.0"))</f>
        <v/>
      </c>
      <c r="AB31" s="443" t="str">
        <f t="shared" si="17"/>
        <v/>
      </c>
      <c r="AC31" s="443" t="str">
        <f t="shared" si="27"/>
        <v/>
      </c>
      <c r="AD31" s="438" t="str">
        <f t="shared" si="28"/>
        <v/>
      </c>
      <c r="AE31" s="444" t="str">
        <f t="shared" si="20"/>
        <v/>
      </c>
    </row>
    <row r="32" spans="1:31" ht="15" customHeight="1" x14ac:dyDescent="0.25">
      <c r="A32" s="71"/>
      <c r="B32" s="584" t="s">
        <v>190</v>
      </c>
      <c r="C32" s="585"/>
      <c r="D32" s="586"/>
      <c r="E32" s="148" t="s">
        <v>151</v>
      </c>
      <c r="F32" s="593" t="s">
        <v>207</v>
      </c>
      <c r="G32" s="594"/>
      <c r="H32" s="595" t="s">
        <v>249</v>
      </c>
      <c r="I32" s="596"/>
      <c r="J32" s="596"/>
      <c r="K32" s="596"/>
      <c r="L32" s="596"/>
      <c r="M32" s="596"/>
      <c r="N32" s="596"/>
      <c r="O32" s="596"/>
      <c r="P32" s="596"/>
      <c r="Q32" s="597"/>
      <c r="R32" s="62"/>
      <c r="S32" s="154"/>
      <c r="T32" s="154"/>
      <c r="U32" s="154"/>
      <c r="X32" s="154"/>
      <c r="Y32" s="154"/>
      <c r="Z32" s="154"/>
    </row>
    <row r="33" spans="1:31" ht="15" customHeight="1" x14ac:dyDescent="0.25">
      <c r="A33" s="71"/>
      <c r="B33" s="587"/>
      <c r="C33" s="588"/>
      <c r="D33" s="589"/>
      <c r="E33" s="149" t="s">
        <v>152</v>
      </c>
      <c r="F33" s="576" t="s">
        <v>208</v>
      </c>
      <c r="G33" s="577"/>
      <c r="H33" s="598"/>
      <c r="I33" s="599"/>
      <c r="J33" s="599"/>
      <c r="K33" s="599"/>
      <c r="L33" s="599"/>
      <c r="M33" s="599"/>
      <c r="N33" s="599"/>
      <c r="O33" s="599"/>
      <c r="P33" s="599"/>
      <c r="Q33" s="600"/>
      <c r="R33" s="62"/>
      <c r="S33" s="154"/>
      <c r="T33" s="154"/>
      <c r="U33" s="154"/>
      <c r="X33" s="154"/>
      <c r="Y33" s="154"/>
      <c r="Z33" s="154"/>
      <c r="AA33" s="515" t="s">
        <v>294</v>
      </c>
      <c r="AB33" s="515"/>
      <c r="AC33" s="515"/>
      <c r="AD33" s="515"/>
      <c r="AE33" s="515"/>
    </row>
    <row r="34" spans="1:31" ht="23.25" customHeight="1" x14ac:dyDescent="0.25">
      <c r="A34" s="71"/>
      <c r="B34" s="590"/>
      <c r="C34" s="591"/>
      <c r="D34" s="592"/>
      <c r="E34" s="149" t="s">
        <v>153</v>
      </c>
      <c r="F34" s="576"/>
      <c r="G34" s="577"/>
      <c r="H34" s="598"/>
      <c r="I34" s="599"/>
      <c r="J34" s="599"/>
      <c r="K34" s="599"/>
      <c r="L34" s="599"/>
      <c r="M34" s="599"/>
      <c r="N34" s="599"/>
      <c r="O34" s="599"/>
      <c r="P34" s="599"/>
      <c r="Q34" s="600"/>
      <c r="R34" s="62"/>
      <c r="S34" s="154"/>
      <c r="T34" s="154"/>
      <c r="U34" s="154"/>
      <c r="X34" s="154"/>
      <c r="Y34" s="154"/>
      <c r="Z34" s="154"/>
    </row>
    <row r="35" spans="1:31" ht="22.5" customHeight="1" x14ac:dyDescent="0.25">
      <c r="A35" s="71"/>
      <c r="B35" s="604" t="s">
        <v>191</v>
      </c>
      <c r="C35" s="605"/>
      <c r="D35" s="606"/>
      <c r="E35" s="578" t="s">
        <v>155</v>
      </c>
      <c r="F35" s="576" t="str">
        <f>参照ﾃﾞｰﾀ!AB16</f>
        <v>IXORA IV</v>
      </c>
      <c r="G35" s="577"/>
      <c r="H35" s="598"/>
      <c r="I35" s="599"/>
      <c r="J35" s="599"/>
      <c r="K35" s="599"/>
      <c r="L35" s="599"/>
      <c r="M35" s="599"/>
      <c r="N35" s="599"/>
      <c r="O35" s="599"/>
      <c r="P35" s="599"/>
      <c r="Q35" s="600"/>
      <c r="R35" s="62"/>
      <c r="S35" s="154"/>
      <c r="T35" s="154"/>
      <c r="U35" s="154"/>
      <c r="X35" s="154"/>
      <c r="Y35" s="154"/>
      <c r="Z35" s="154"/>
    </row>
    <row r="36" spans="1:31" ht="15" customHeight="1" x14ac:dyDescent="0.25">
      <c r="A36" s="71"/>
      <c r="B36" s="607"/>
      <c r="C36" s="608"/>
      <c r="D36" s="609"/>
      <c r="E36" s="615"/>
      <c r="F36" s="576"/>
      <c r="G36" s="577"/>
      <c r="H36" s="598"/>
      <c r="I36" s="599"/>
      <c r="J36" s="599"/>
      <c r="K36" s="599"/>
      <c r="L36" s="599"/>
      <c r="M36" s="599"/>
      <c r="N36" s="599"/>
      <c r="O36" s="599"/>
      <c r="P36" s="599"/>
      <c r="Q36" s="600"/>
      <c r="R36" s="62"/>
      <c r="S36" s="154"/>
      <c r="T36" s="154"/>
      <c r="U36" s="154"/>
      <c r="X36" s="154"/>
      <c r="Y36" s="154"/>
      <c r="Z36" s="154"/>
    </row>
    <row r="37" spans="1:31" ht="15" customHeight="1" x14ac:dyDescent="0.25">
      <c r="A37" s="71"/>
      <c r="B37" s="607"/>
      <c r="C37" s="608"/>
      <c r="D37" s="609"/>
      <c r="E37" s="148" t="s">
        <v>154</v>
      </c>
      <c r="F37" s="574">
        <f>参照ﾃﾞｰﾀ!Z17</f>
        <v>46404</v>
      </c>
      <c r="G37" s="575"/>
      <c r="H37" s="598"/>
      <c r="I37" s="599"/>
      <c r="J37" s="599"/>
      <c r="K37" s="599"/>
      <c r="L37" s="599"/>
      <c r="M37" s="599"/>
      <c r="N37" s="599"/>
      <c r="O37" s="599"/>
      <c r="P37" s="599"/>
      <c r="Q37" s="600"/>
      <c r="R37" s="62"/>
      <c r="S37" s="154"/>
      <c r="T37" s="154"/>
      <c r="U37" s="154"/>
      <c r="X37" s="154"/>
      <c r="Y37" s="154"/>
      <c r="Z37" s="154"/>
    </row>
    <row r="38" spans="1:31" ht="15" customHeight="1" x14ac:dyDescent="0.25">
      <c r="A38" s="71"/>
      <c r="B38" s="607"/>
      <c r="C38" s="608"/>
      <c r="D38" s="609"/>
      <c r="E38" s="149" t="s">
        <v>167</v>
      </c>
      <c r="F38" s="576" t="str">
        <f>参照ﾃﾞｰﾀ!AA17</f>
        <v>G</v>
      </c>
      <c r="G38" s="577"/>
      <c r="H38" s="598"/>
      <c r="I38" s="599"/>
      <c r="J38" s="599"/>
      <c r="K38" s="599"/>
      <c r="L38" s="599"/>
      <c r="M38" s="599"/>
      <c r="N38" s="599"/>
      <c r="O38" s="599"/>
      <c r="P38" s="599"/>
      <c r="Q38" s="600"/>
      <c r="R38" s="62"/>
      <c r="S38" s="154"/>
      <c r="T38" s="154"/>
      <c r="U38" s="154"/>
      <c r="X38" s="154"/>
      <c r="Y38" s="154"/>
      <c r="Z38" s="154"/>
    </row>
    <row r="39" spans="1:31" ht="15" customHeight="1" x14ac:dyDescent="0.25">
      <c r="A39" s="71"/>
      <c r="B39" s="607"/>
      <c r="C39" s="608"/>
      <c r="D39" s="609"/>
      <c r="E39" s="578" t="s">
        <v>155</v>
      </c>
      <c r="F39" s="576" t="str">
        <f>参照ﾃﾞｰﾀ!AB17</f>
        <v>ケロニア</v>
      </c>
      <c r="G39" s="577"/>
      <c r="H39" s="598"/>
      <c r="I39" s="599"/>
      <c r="J39" s="599"/>
      <c r="K39" s="599"/>
      <c r="L39" s="599"/>
      <c r="M39" s="599"/>
      <c r="N39" s="599"/>
      <c r="O39" s="599"/>
      <c r="P39" s="599"/>
      <c r="Q39" s="600"/>
      <c r="R39" s="62"/>
      <c r="S39" s="154"/>
      <c r="T39" s="154"/>
      <c r="U39" s="154"/>
      <c r="X39" s="154"/>
      <c r="Y39" s="154"/>
      <c r="Z39" s="154"/>
    </row>
    <row r="40" spans="1:31" ht="15" customHeight="1" x14ac:dyDescent="0.25">
      <c r="A40" s="71"/>
      <c r="B40" s="607"/>
      <c r="C40" s="608"/>
      <c r="D40" s="609"/>
      <c r="E40" s="578"/>
      <c r="F40" s="576" t="s">
        <v>293</v>
      </c>
      <c r="G40" s="577"/>
      <c r="H40" s="598"/>
      <c r="I40" s="599"/>
      <c r="J40" s="599"/>
      <c r="K40" s="599"/>
      <c r="L40" s="599"/>
      <c r="M40" s="599"/>
      <c r="N40" s="599"/>
      <c r="O40" s="599"/>
      <c r="P40" s="599"/>
      <c r="Q40" s="600"/>
      <c r="R40" s="62"/>
      <c r="S40" s="154"/>
      <c r="T40" s="154"/>
      <c r="U40" s="154"/>
      <c r="X40" s="154"/>
      <c r="Y40" s="154"/>
      <c r="Z40" s="154"/>
    </row>
    <row r="41" spans="1:31" ht="11.25" customHeight="1" thickBot="1" x14ac:dyDescent="0.3">
      <c r="A41" s="71"/>
      <c r="B41" s="610"/>
      <c r="C41" s="611"/>
      <c r="D41" s="612"/>
      <c r="E41" s="150"/>
      <c r="F41" s="613"/>
      <c r="G41" s="614"/>
      <c r="H41" s="601"/>
      <c r="I41" s="602"/>
      <c r="J41" s="602"/>
      <c r="K41" s="602"/>
      <c r="L41" s="602"/>
      <c r="M41" s="602"/>
      <c r="N41" s="602"/>
      <c r="O41" s="602"/>
      <c r="P41" s="602"/>
      <c r="Q41" s="603"/>
      <c r="R41" s="62"/>
      <c r="S41" s="154"/>
      <c r="T41" s="154"/>
      <c r="U41" s="154"/>
      <c r="V41" s="154"/>
      <c r="W41" s="154"/>
      <c r="X41" s="154"/>
      <c r="Y41" s="154"/>
      <c r="Z41" s="154"/>
    </row>
    <row r="42" spans="1:3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</sheetData>
  <sheetProtection algorithmName="SHA-512" hashValue="QdOO2luqTeHGtN71Mf/iYHOxQJvBxE0DMRcTQyDzUYA2VHTMuyNJtSUSsJM3Vq+20ldn8xOUDDbx04sVrJz+Uw==" saltValue="CRnf2xRJcbgiG+jNHXM34A==" spinCount="100000" sheet="1" objects="1" scenarios="1"/>
  <sortState xmlns:xlrd2="http://schemas.microsoft.com/office/spreadsheetml/2017/richdata2" ref="C7:K23">
    <sortCondition ref="K7:K23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0"/>
  <dataValidations count="9">
    <dataValidation type="list" allowBlank="1" showInputMessage="1" showErrorMessage="1" sqref="P2 F37:G37" xr:uid="{00000000-0002-0000-0500-000000000000}">
      <formula1>開催日</formula1>
    </dataValidation>
    <dataValidation type="list" allowBlank="1" showInputMessage="1" showErrorMessage="1" sqref="Q2" xr:uid="{00000000-0002-0000-0500-000001000000}">
      <formula1>時刻</formula1>
    </dataValidation>
    <dataValidation type="list" allowBlank="1" showInputMessage="1" showErrorMessage="1" sqref="J3:K3" xr:uid="{00000000-0002-0000-0500-000002000000}">
      <formula1>暫定</formula1>
    </dataValidation>
    <dataValidation type="list" allowBlank="1" showInputMessage="1" showErrorMessage="1" sqref="G2" xr:uid="{00000000-0002-0000-0500-000003000000}">
      <formula1>月</formula1>
    </dataValidation>
    <dataValidation type="list" allowBlank="1" showInputMessage="1" showErrorMessage="1" sqref="N2" xr:uid="{00000000-0002-0000-0500-000004000000}">
      <formula1>コース</formula1>
    </dataValidation>
    <dataValidation type="list" showInputMessage="1" showErrorMessage="1" sqref="E3" xr:uid="{00000000-0002-0000-0500-000005000000}">
      <formula1>レース名</formula1>
    </dataValidation>
    <dataValidation type="list" allowBlank="1" showInputMessage="1" showErrorMessage="1" sqref="I6" xr:uid="{00000000-0002-0000-0500-000006000000}">
      <formula1>ＴＡ</formula1>
    </dataValidation>
    <dataValidation type="list" allowBlank="1" showInputMessage="1" showErrorMessage="1" sqref="D3" xr:uid="{00000000-0002-0000-0500-000007000000}">
      <formula1>レース番号</formula1>
    </dataValidation>
    <dataValidation type="list" allowBlank="1" showInputMessage="1" showErrorMessage="1" sqref="O6" xr:uid="{CB9547BA-86E6-4686-87C2-03963A5FED8C}">
      <formula1>$AA$6:$AE$6</formula1>
    </dataValidation>
  </dataValidations>
  <pageMargins left="0.31496062992125984" right="0" top="0.35433070866141736" bottom="0.19685039370078741" header="0" footer="0"/>
  <pageSetup paperSize="9" scale="99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272581-59C5-47A5-A79D-7B5C093320B4}">
          <x14:formula1>
            <xm:f>参照ﾃﾞｰﾀ!$B$4:$B$17</xm:f>
          </x14:formula1>
          <xm:sqref>F38:G38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F49"/>
  <sheetViews>
    <sheetView view="pageBreakPreview" zoomScale="70" zoomScaleNormal="100" zoomScaleSheetLayoutView="70" workbookViewId="0">
      <selection activeCell="Q32" sqref="Q32"/>
    </sheetView>
  </sheetViews>
  <sheetFormatPr defaultColWidth="9" defaultRowHeight="13" x14ac:dyDescent="0.2"/>
  <cols>
    <col min="1" max="1" width="3" style="153" customWidth="1"/>
    <col min="2" max="2" width="4.26953125" style="153" customWidth="1"/>
    <col min="3" max="3" width="7.26953125" style="153" customWidth="1"/>
    <col min="4" max="4" width="16.26953125" style="153" customWidth="1"/>
    <col min="5" max="10" width="7.90625" style="153" customWidth="1"/>
    <col min="11" max="11" width="7.453125" style="153" customWidth="1"/>
    <col min="12" max="13" width="3.08984375" style="153" customWidth="1"/>
    <col min="14" max="14" width="7.7265625" style="153" customWidth="1"/>
    <col min="15" max="15" width="12.6328125" style="153" customWidth="1"/>
    <col min="16" max="16" width="6.6328125" style="153" customWidth="1"/>
    <col min="17" max="17" width="7.36328125" style="153" customWidth="1"/>
    <col min="18" max="18" width="15.453125" style="153" customWidth="1"/>
    <col min="19" max="19" width="9" style="547"/>
    <col min="20" max="20" width="9" style="153"/>
    <col min="21" max="21" width="16.36328125" style="153" customWidth="1"/>
    <col min="22" max="22" width="3" style="153" customWidth="1"/>
    <col min="23" max="23" width="4.26953125" style="153" customWidth="1"/>
    <col min="24" max="24" width="7.26953125" style="153" customWidth="1"/>
    <col min="25" max="25" width="16.26953125" style="153" customWidth="1"/>
    <col min="26" max="31" width="7.90625" style="153" customWidth="1"/>
    <col min="32" max="32" width="7.453125" style="153" customWidth="1"/>
    <col min="33" max="16384" width="9" style="153"/>
  </cols>
  <sheetData>
    <row r="1" spans="2:32" s="163" customFormat="1" ht="19.5" customHeight="1" x14ac:dyDescent="0.2">
      <c r="B1" s="625" t="s">
        <v>291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196"/>
      <c r="O1" s="197"/>
      <c r="S1" s="214"/>
      <c r="W1" s="625" t="s">
        <v>292</v>
      </c>
      <c r="X1" s="625"/>
      <c r="Y1" s="625"/>
      <c r="Z1" s="625"/>
      <c r="AA1" s="625"/>
      <c r="AB1" s="625"/>
      <c r="AC1" s="625"/>
      <c r="AD1" s="625"/>
      <c r="AE1" s="625"/>
      <c r="AF1" s="625"/>
    </row>
    <row r="2" spans="2:32" s="200" customFormat="1" ht="23.25" customHeight="1" x14ac:dyDescent="0.3">
      <c r="B2" s="624" t="s">
        <v>309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198"/>
      <c r="O2" s="199"/>
      <c r="P2" s="624" t="s">
        <v>308</v>
      </c>
      <c r="Q2" s="624"/>
      <c r="R2" s="624"/>
      <c r="S2" s="624"/>
      <c r="T2" s="624"/>
      <c r="U2" s="624"/>
      <c r="W2" s="624" t="s">
        <v>309</v>
      </c>
      <c r="X2" s="624"/>
      <c r="Y2" s="624"/>
      <c r="Z2" s="624"/>
      <c r="AA2" s="624"/>
      <c r="AB2" s="624"/>
      <c r="AC2" s="624"/>
      <c r="AD2" s="624"/>
      <c r="AE2" s="624"/>
      <c r="AF2" s="624"/>
    </row>
    <row r="3" spans="2:32" s="163" customFormat="1" ht="21" customHeight="1" thickBot="1" x14ac:dyDescent="0.25">
      <c r="C3" s="159"/>
      <c r="I3" s="619" t="s">
        <v>298</v>
      </c>
      <c r="J3" s="619"/>
      <c r="K3" s="619"/>
      <c r="L3" s="619"/>
      <c r="M3" s="619"/>
      <c r="N3" s="201"/>
      <c r="O3" s="202"/>
      <c r="P3" s="203"/>
      <c r="S3" s="214"/>
      <c r="X3" s="159"/>
      <c r="AE3" s="619" t="s">
        <v>307</v>
      </c>
      <c r="AF3" s="619"/>
    </row>
    <row r="4" spans="2:32" s="163" customFormat="1" ht="13.5" customHeight="1" x14ac:dyDescent="0.2">
      <c r="B4" s="626" t="s">
        <v>3</v>
      </c>
      <c r="C4" s="628" t="s">
        <v>68</v>
      </c>
      <c r="D4" s="630" t="s">
        <v>69</v>
      </c>
      <c r="E4" s="204" t="str">
        <f>参照ﾃﾞｰﾀ!M10</f>
        <v>＃622</v>
      </c>
      <c r="F4" s="204" t="str">
        <f>参照ﾃﾞｰﾀ!M11</f>
        <v>＃623</v>
      </c>
      <c r="G4" s="204" t="str">
        <f>参照ﾃﾞｰﾀ!M12</f>
        <v>＃624</v>
      </c>
      <c r="H4" s="204" t="str">
        <f>参照ﾃﾞｰﾀ!M14</f>
        <v>＃626</v>
      </c>
      <c r="I4" s="204" t="str">
        <f>参照ﾃﾞｰﾀ!M15</f>
        <v>＃627</v>
      </c>
      <c r="J4" s="204" t="str">
        <f>参照ﾃﾞｰﾀ!M16</f>
        <v>＃628</v>
      </c>
      <c r="K4" s="632" t="s">
        <v>70</v>
      </c>
      <c r="L4" s="634" t="s">
        <v>71</v>
      </c>
      <c r="M4" s="636" t="s">
        <v>72</v>
      </c>
      <c r="N4" s="205" t="s">
        <v>224</v>
      </c>
      <c r="O4" s="202"/>
      <c r="P4" s="206"/>
      <c r="Q4" s="207" t="s">
        <v>305</v>
      </c>
      <c r="R4" s="206"/>
      <c r="S4" s="542"/>
      <c r="U4" s="550" t="s">
        <v>306</v>
      </c>
      <c r="W4" s="641" t="s">
        <v>3</v>
      </c>
      <c r="X4" s="644" t="s">
        <v>68</v>
      </c>
      <c r="Y4" s="647" t="s">
        <v>69</v>
      </c>
      <c r="Z4" s="204" t="s">
        <v>234</v>
      </c>
      <c r="AA4" s="204" t="s">
        <v>235</v>
      </c>
      <c r="AB4" s="204" t="s">
        <v>268</v>
      </c>
      <c r="AC4" s="204" t="s">
        <v>269</v>
      </c>
      <c r="AD4" s="204" t="s">
        <v>270</v>
      </c>
      <c r="AE4" s="204" t="s">
        <v>271</v>
      </c>
      <c r="AF4" s="650" t="s">
        <v>70</v>
      </c>
    </row>
    <row r="5" spans="2:32" s="163" customFormat="1" ht="13.5" customHeight="1" x14ac:dyDescent="0.2">
      <c r="B5" s="627"/>
      <c r="C5" s="629"/>
      <c r="D5" s="631"/>
      <c r="E5" s="208">
        <f>参照ﾃﾞｰﾀ!J10</f>
        <v>46222</v>
      </c>
      <c r="F5" s="208">
        <f>参照ﾃﾞｰﾀ!J11</f>
        <v>46250</v>
      </c>
      <c r="G5" s="208">
        <f>参照ﾃﾞｰﾀ!J12</f>
        <v>46285</v>
      </c>
      <c r="H5" s="208">
        <f>参照ﾃﾞｰﾀ!J14</f>
        <v>46313</v>
      </c>
      <c r="I5" s="208">
        <f>参照ﾃﾞｰﾀ!J15</f>
        <v>46341</v>
      </c>
      <c r="J5" s="208">
        <f>参照ﾃﾞｰﾀ!J16</f>
        <v>46376</v>
      </c>
      <c r="K5" s="633"/>
      <c r="L5" s="635"/>
      <c r="M5" s="637"/>
      <c r="N5" s="208">
        <v>45536</v>
      </c>
      <c r="O5" s="202"/>
      <c r="P5" s="206"/>
      <c r="Q5" s="206"/>
      <c r="R5" s="206"/>
      <c r="S5" s="542" t="s">
        <v>297</v>
      </c>
      <c r="T5" s="163" t="s">
        <v>132</v>
      </c>
      <c r="W5" s="642"/>
      <c r="X5" s="645"/>
      <c r="Y5" s="648"/>
      <c r="Z5" s="208">
        <v>46068</v>
      </c>
      <c r="AA5" s="208">
        <v>46068</v>
      </c>
      <c r="AB5" s="208">
        <v>46096</v>
      </c>
      <c r="AC5" s="208">
        <v>46131</v>
      </c>
      <c r="AD5" s="208">
        <v>46131</v>
      </c>
      <c r="AE5" s="208">
        <v>46159</v>
      </c>
      <c r="AF5" s="651"/>
    </row>
    <row r="6" spans="2:32" s="214" customFormat="1" ht="28" x14ac:dyDescent="0.2">
      <c r="B6" s="627"/>
      <c r="C6" s="629"/>
      <c r="D6" s="631"/>
      <c r="E6" s="209" t="str">
        <f>参照ﾃﾞｰﾀ!AA10</f>
        <v>F</v>
      </c>
      <c r="F6" s="209" t="str">
        <f>参照ﾃﾞｰﾀ!AA11</f>
        <v>H</v>
      </c>
      <c r="G6" s="209" t="str">
        <f>参照ﾃﾞｰﾀ!AA12</f>
        <v>A</v>
      </c>
      <c r="H6" s="209" t="str">
        <f>参照ﾃﾞｰﾀ!AA14</f>
        <v>E</v>
      </c>
      <c r="I6" s="209" t="str">
        <f>参照ﾃﾞｰﾀ!AA15</f>
        <v>F</v>
      </c>
      <c r="J6" s="209" t="str">
        <f>参照ﾃﾞｰﾀ!AA16</f>
        <v>E</v>
      </c>
      <c r="K6" s="633"/>
      <c r="L6" s="635"/>
      <c r="M6" s="637"/>
      <c r="N6" s="209" t="s">
        <v>43</v>
      </c>
      <c r="O6" s="210"/>
      <c r="P6" s="211" t="s">
        <v>3</v>
      </c>
      <c r="Q6" s="212" t="s">
        <v>68</v>
      </c>
      <c r="R6" s="213" t="s">
        <v>69</v>
      </c>
      <c r="S6" s="213" t="s">
        <v>70</v>
      </c>
      <c r="T6" s="213" t="s">
        <v>133</v>
      </c>
      <c r="U6" s="213" t="s">
        <v>134</v>
      </c>
      <c r="W6" s="643"/>
      <c r="X6" s="646"/>
      <c r="Y6" s="649"/>
      <c r="Z6" s="209" t="s">
        <v>228</v>
      </c>
      <c r="AA6" s="209" t="s">
        <v>281</v>
      </c>
      <c r="AB6" s="209" t="s">
        <v>280</v>
      </c>
      <c r="AC6" s="209" t="s">
        <v>281</v>
      </c>
      <c r="AD6" s="209" t="s">
        <v>299</v>
      </c>
      <c r="AE6" s="209" t="s">
        <v>282</v>
      </c>
      <c r="AF6" s="652"/>
    </row>
    <row r="7" spans="2:32" s="163" customFormat="1" ht="14" x14ac:dyDescent="0.2">
      <c r="B7" s="215" t="s">
        <v>100</v>
      </c>
      <c r="C7" s="89"/>
      <c r="D7" s="90" t="str">
        <f t="shared" ref="D7:D26" si="0">IF(ISBLANK(C7),"",VLOOKUP(C7,第1月ＴＡ,2,FALSE))</f>
        <v/>
      </c>
      <c r="E7" s="216" t="str">
        <f>IFERROR(VLOOKUP($C7,'7月'!$C$7:$O$31,13,FALSE),"")</f>
        <v/>
      </c>
      <c r="F7" s="216" t="str">
        <f>IFERROR(VLOOKUP($C7,'8月'!$C$7:$O$31,13,FALSE),"")</f>
        <v/>
      </c>
      <c r="G7" s="216" t="str">
        <f>IFERROR(VLOOKUP($C7,'9月'!$C$7:$O$31,13,FALSE),"")</f>
        <v/>
      </c>
      <c r="H7" s="216" t="str">
        <f>IFERROR(VLOOKUP($C7,'10月'!$C$7:$O$31,13,FALSE),"")</f>
        <v/>
      </c>
      <c r="I7" s="216" t="str">
        <f>IFERROR(VLOOKUP($C7,'11月'!$C$7:$O$31,13,FALSE),"")</f>
        <v/>
      </c>
      <c r="J7" s="216" t="str">
        <f>IFERROR(VLOOKUP($C7,'12月'!$C$7:$O$31,13,FALSE),"")</f>
        <v/>
      </c>
      <c r="K7" s="218">
        <f t="shared" ref="K7:K26" si="1">SUM(E7:J7)</f>
        <v>0</v>
      </c>
      <c r="L7" s="219"/>
      <c r="M7" s="219"/>
      <c r="N7" s="220"/>
      <c r="O7" s="221"/>
      <c r="P7" s="222" t="s">
        <v>73</v>
      </c>
      <c r="Q7" s="89"/>
      <c r="R7" s="90" t="str">
        <f>IFERROR(VLOOKUP(Q7,参照ＴＡ!C$6:D$42,2,FALSE),"")</f>
        <v/>
      </c>
      <c r="S7" s="548"/>
      <c r="T7" s="223" t="str">
        <f>IFERROR(VLOOKUP(Q7,C$7:K$31,9,FALSE),"")</f>
        <v/>
      </c>
      <c r="U7" s="223">
        <f t="shared" ref="U7:U14" si="2">SUM(S7:T7)</f>
        <v>0</v>
      </c>
      <c r="W7" s="215" t="s">
        <v>73</v>
      </c>
      <c r="X7" s="185"/>
      <c r="Y7" s="186"/>
      <c r="Z7" s="216"/>
      <c r="AA7" s="216"/>
      <c r="AB7" s="217"/>
      <c r="AC7" s="217"/>
      <c r="AD7" s="217"/>
      <c r="AE7" s="216"/>
      <c r="AF7" s="218"/>
    </row>
    <row r="8" spans="2:32" s="163" customFormat="1" ht="14" x14ac:dyDescent="0.2">
      <c r="B8" s="224" t="s">
        <v>74</v>
      </c>
      <c r="C8" s="100"/>
      <c r="D8" s="101" t="str">
        <f t="shared" si="0"/>
        <v/>
      </c>
      <c r="E8" s="264" t="str">
        <f>IFERROR(VLOOKUP($C8,'7月'!$C$7:$O$31,13,FALSE),"")</f>
        <v/>
      </c>
      <c r="F8" s="225" t="str">
        <f>IFERROR(VLOOKUP($C8,'8月'!$C$7:$O$31,13,FALSE),"")</f>
        <v/>
      </c>
      <c r="G8" s="225" t="str">
        <f>IFERROR(VLOOKUP($C8,'9月'!$C$7:$O$31,13,FALSE),"")</f>
        <v/>
      </c>
      <c r="H8" s="225" t="str">
        <f>IFERROR(VLOOKUP($C8,'10月'!$C$7:$O$31,13,FALSE),"")</f>
        <v/>
      </c>
      <c r="I8" s="225" t="str">
        <f>IFERROR(VLOOKUP($C8,'11月'!$C$7:$O$31,13,FALSE),"")</f>
        <v/>
      </c>
      <c r="J8" s="225" t="str">
        <f>IFERROR(VLOOKUP($C8,'12月'!$C$7:$O$31,13,FALSE),"")</f>
        <v/>
      </c>
      <c r="K8" s="226">
        <f t="shared" si="1"/>
        <v>0</v>
      </c>
      <c r="L8" s="227"/>
      <c r="M8" s="227"/>
      <c r="N8" s="228"/>
      <c r="O8" s="229"/>
      <c r="P8" s="230" t="s">
        <v>74</v>
      </c>
      <c r="Q8" s="100"/>
      <c r="R8" s="101" t="str">
        <f>IFERROR(VLOOKUP(Q8,参照ＴＡ!C$6:D$42,2,FALSE),"")</f>
        <v/>
      </c>
      <c r="S8" s="543"/>
      <c r="T8" s="223" t="str">
        <f t="shared" ref="T8:T31" si="3">IFERROR(VLOOKUP(Q8,C$7:K$31,9,FALSE),"")</f>
        <v/>
      </c>
      <c r="U8" s="223">
        <f t="shared" si="2"/>
        <v>0</v>
      </c>
      <c r="W8" s="224" t="s">
        <v>74</v>
      </c>
      <c r="X8" s="187"/>
      <c r="Y8" s="188"/>
      <c r="Z8" s="225"/>
      <c r="AA8" s="225"/>
      <c r="AB8" s="225"/>
      <c r="AC8" s="231"/>
      <c r="AD8" s="225"/>
      <c r="AE8" s="225"/>
      <c r="AF8" s="226"/>
    </row>
    <row r="9" spans="2:32" s="163" customFormat="1" ht="14" x14ac:dyDescent="0.2">
      <c r="B9" s="224" t="s">
        <v>75</v>
      </c>
      <c r="C9" s="100"/>
      <c r="D9" s="101" t="str">
        <f t="shared" si="0"/>
        <v/>
      </c>
      <c r="E9" s="225" t="str">
        <f>IFERROR(VLOOKUP($C9,'7月'!$C$7:$O$31,13,FALSE),"")</f>
        <v/>
      </c>
      <c r="F9" s="225" t="str">
        <f>IFERROR(VLOOKUP($C9,'8月'!$C$7:$O$31,13,FALSE),"")</f>
        <v/>
      </c>
      <c r="G9" s="225" t="str">
        <f>IFERROR(VLOOKUP($C9,'9月'!$C$7:$O$31,13,FALSE),"")</f>
        <v/>
      </c>
      <c r="H9" s="225" t="str">
        <f>IFERROR(VLOOKUP($C9,'10月'!$C$7:$O$31,13,FALSE),"")</f>
        <v/>
      </c>
      <c r="I9" s="225" t="str">
        <f>IFERROR(VLOOKUP($C9,'11月'!$C$7:$O$31,13,FALSE),"")</f>
        <v/>
      </c>
      <c r="J9" s="225" t="str">
        <f>IFERROR(VLOOKUP($C9,'12月'!$C$7:$O$31,13,FALSE),"")</f>
        <v/>
      </c>
      <c r="K9" s="226">
        <f t="shared" si="1"/>
        <v>0</v>
      </c>
      <c r="L9" s="227"/>
      <c r="M9" s="227"/>
      <c r="N9" s="228"/>
      <c r="O9" s="221"/>
      <c r="P9" s="230" t="s">
        <v>75</v>
      </c>
      <c r="Q9" s="100"/>
      <c r="R9" s="101" t="str">
        <f>IFERROR(VLOOKUP(Q9,参照ＴＡ!C$6:D$42,2,FALSE),"")</f>
        <v/>
      </c>
      <c r="S9" s="543"/>
      <c r="T9" s="223" t="str">
        <f t="shared" si="3"/>
        <v/>
      </c>
      <c r="U9" s="223">
        <f t="shared" si="2"/>
        <v>0</v>
      </c>
      <c r="W9" s="224" t="s">
        <v>75</v>
      </c>
      <c r="X9" s="187"/>
      <c r="Y9" s="188"/>
      <c r="Z9" s="233"/>
      <c r="AA9" s="225"/>
      <c r="AB9" s="234"/>
      <c r="AC9" s="226"/>
      <c r="AD9" s="233"/>
      <c r="AE9" s="225"/>
      <c r="AF9" s="226"/>
    </row>
    <row r="10" spans="2:32" s="163" customFormat="1" ht="14" x14ac:dyDescent="0.2">
      <c r="B10" s="224" t="s">
        <v>76</v>
      </c>
      <c r="C10" s="100"/>
      <c r="D10" s="101" t="str">
        <f t="shared" si="0"/>
        <v/>
      </c>
      <c r="E10" s="225" t="str">
        <f>IFERROR(VLOOKUP($C10,'7月'!$C$7:$O$31,13,FALSE),"")</f>
        <v/>
      </c>
      <c r="F10" s="225" t="str">
        <f>IFERROR(VLOOKUP($C10,'8月'!$C$7:$O$31,13,FALSE),"")</f>
        <v/>
      </c>
      <c r="G10" s="225" t="str">
        <f>IFERROR(VLOOKUP($C10,'9月'!$C$7:$O$31,13,FALSE),"")</f>
        <v/>
      </c>
      <c r="H10" s="225" t="str">
        <f>IFERROR(VLOOKUP($C10,'10月'!$C$7:$O$31,13,FALSE),"")</f>
        <v/>
      </c>
      <c r="I10" s="225" t="str">
        <f>IFERROR(VLOOKUP($C10,'11月'!$C$7:$O$31,13,FALSE),"")</f>
        <v/>
      </c>
      <c r="J10" s="225" t="str">
        <f>IFERROR(VLOOKUP($C10,'12月'!$C$7:$O$31,13,FALSE),"")</f>
        <v/>
      </c>
      <c r="K10" s="226">
        <f t="shared" si="1"/>
        <v>0</v>
      </c>
      <c r="L10" s="227"/>
      <c r="M10" s="227"/>
      <c r="N10" s="228"/>
      <c r="O10" s="221"/>
      <c r="P10" s="230" t="s">
        <v>76</v>
      </c>
      <c r="Q10" s="100"/>
      <c r="R10" s="101" t="str">
        <f>IFERROR(VLOOKUP(Q10,参照ＴＡ!C$6:D$42,2,FALSE),"")</f>
        <v/>
      </c>
      <c r="S10" s="544"/>
      <c r="T10" s="223" t="str">
        <f t="shared" si="3"/>
        <v/>
      </c>
      <c r="U10" s="223">
        <f t="shared" si="2"/>
        <v>0</v>
      </c>
      <c r="W10" s="224" t="s">
        <v>76</v>
      </c>
      <c r="X10" s="187"/>
      <c r="Y10" s="188"/>
      <c r="Z10" s="225"/>
      <c r="AA10" s="225"/>
      <c r="AB10" s="225"/>
      <c r="AC10" s="225"/>
      <c r="AD10" s="225"/>
      <c r="AE10" s="225"/>
      <c r="AF10" s="226"/>
    </row>
    <row r="11" spans="2:32" s="163" customFormat="1" ht="14" x14ac:dyDescent="0.2">
      <c r="B11" s="235" t="s">
        <v>101</v>
      </c>
      <c r="C11" s="112"/>
      <c r="D11" s="101" t="str">
        <f t="shared" si="0"/>
        <v/>
      </c>
      <c r="E11" s="237" t="str">
        <f>IFERROR(VLOOKUP($C11,'7月'!$C$7:$O$31,13,FALSE),"")</f>
        <v/>
      </c>
      <c r="F11" s="237" t="str">
        <f>IFERROR(VLOOKUP($C11,'8月'!$C$7:$O$31,13,FALSE),"")</f>
        <v/>
      </c>
      <c r="G11" s="237" t="str">
        <f>IFERROR(VLOOKUP($C11,'9月'!$C$7:$O$31,13,FALSE),"")</f>
        <v/>
      </c>
      <c r="H11" s="237" t="str">
        <f>IFERROR(VLOOKUP($C11,'10月'!$C$7:$O$31,13,FALSE),"")</f>
        <v/>
      </c>
      <c r="I11" s="237" t="str">
        <f>IFERROR(VLOOKUP($C11,'11月'!$C$7:$O$31,13,FALSE),"")</f>
        <v/>
      </c>
      <c r="J11" s="237" t="str">
        <f>IFERROR(VLOOKUP($C11,'12月'!$C$7:$O$31,13,FALSE),"")</f>
        <v/>
      </c>
      <c r="K11" s="239">
        <f t="shared" si="1"/>
        <v>0</v>
      </c>
      <c r="L11" s="240"/>
      <c r="M11" s="240"/>
      <c r="N11" s="241"/>
      <c r="O11" s="221"/>
      <c r="P11" s="242" t="s">
        <v>77</v>
      </c>
      <c r="Q11" s="112"/>
      <c r="R11" s="101" t="str">
        <f>IFERROR(VLOOKUP(Q11,参照ＴＡ!C$6:D$42,2,FALSE),"")</f>
        <v/>
      </c>
      <c r="S11" s="546"/>
      <c r="T11" s="243" t="str">
        <f t="shared" si="3"/>
        <v/>
      </c>
      <c r="U11" s="243">
        <f t="shared" si="2"/>
        <v>0</v>
      </c>
      <c r="W11" s="235" t="s">
        <v>77</v>
      </c>
      <c r="X11" s="189"/>
      <c r="Y11" s="236"/>
      <c r="Z11" s="244"/>
      <c r="AA11" s="237"/>
      <c r="AB11" s="245"/>
      <c r="AC11" s="237"/>
      <c r="AD11" s="237"/>
      <c r="AE11" s="237"/>
      <c r="AF11" s="239"/>
    </row>
    <row r="12" spans="2:32" s="163" customFormat="1" ht="14" x14ac:dyDescent="0.2">
      <c r="B12" s="215" t="s">
        <v>78</v>
      </c>
      <c r="C12" s="89"/>
      <c r="D12" s="90" t="str">
        <f t="shared" si="0"/>
        <v/>
      </c>
      <c r="E12" s="216" t="str">
        <f>IFERROR(VLOOKUP($C12,'7月'!$C$7:$O$31,13,FALSE),"")</f>
        <v/>
      </c>
      <c r="F12" s="216" t="str">
        <f>IFERROR(VLOOKUP($C12,'8月'!$C$7:$O$31,13,FALSE),"")</f>
        <v/>
      </c>
      <c r="G12" s="216" t="str">
        <f>IFERROR(VLOOKUP($C12,'9月'!$C$7:$O$31,13,FALSE),"")</f>
        <v/>
      </c>
      <c r="H12" s="216" t="str">
        <f>IFERROR(VLOOKUP($C12,'10月'!$C$7:$O$31,13,FALSE),"")</f>
        <v/>
      </c>
      <c r="I12" s="216" t="str">
        <f>IFERROR(VLOOKUP($C12,'11月'!$C$7:$O$31,13,FALSE),"")</f>
        <v/>
      </c>
      <c r="J12" s="258" t="str">
        <f>IFERROR(VLOOKUP($C12,'12月'!$C$7:$O$31,13,FALSE),"")</f>
        <v/>
      </c>
      <c r="K12" s="247">
        <f t="shared" si="1"/>
        <v>0</v>
      </c>
      <c r="L12" s="219"/>
      <c r="M12" s="248"/>
      <c r="N12" s="249"/>
      <c r="O12" s="221"/>
      <c r="P12" s="222" t="s">
        <v>78</v>
      </c>
      <c r="Q12" s="89"/>
      <c r="R12" s="90" t="str">
        <f>IFERROR(VLOOKUP(Q12,参照ＴＡ!C$6:D$42,2,FALSE),"")</f>
        <v/>
      </c>
      <c r="S12" s="549"/>
      <c r="T12" s="250" t="str">
        <f t="shared" si="3"/>
        <v/>
      </c>
      <c r="U12" s="250">
        <f t="shared" si="2"/>
        <v>0</v>
      </c>
      <c r="W12" s="215" t="s">
        <v>78</v>
      </c>
      <c r="X12" s="185"/>
      <c r="Y12" s="186"/>
      <c r="Z12" s="216"/>
      <c r="AA12" s="216"/>
      <c r="AB12" s="251"/>
      <c r="AC12" s="216"/>
      <c r="AD12" s="216"/>
      <c r="AE12" s="216"/>
      <c r="AF12" s="247"/>
    </row>
    <row r="13" spans="2:32" s="163" customFormat="1" ht="14" x14ac:dyDescent="0.2">
      <c r="B13" s="224" t="s">
        <v>79</v>
      </c>
      <c r="C13" s="100"/>
      <c r="D13" s="101" t="str">
        <f t="shared" si="0"/>
        <v/>
      </c>
      <c r="E13" s="225" t="str">
        <f>IFERROR(VLOOKUP($C13,'7月'!$C$7:$O$31,13,FALSE),"")</f>
        <v/>
      </c>
      <c r="F13" s="225" t="str">
        <f>IFERROR(VLOOKUP($C13,'8月'!$C$7:$O$31,13,FALSE),"")</f>
        <v/>
      </c>
      <c r="G13" s="225" t="str">
        <f>IFERROR(VLOOKUP($C13,'9月'!$C$7:$O$31,13,FALSE),"")</f>
        <v/>
      </c>
      <c r="H13" s="225" t="str">
        <f>IFERROR(VLOOKUP($C13,'10月'!$C$7:$O$31,13,FALSE),"")</f>
        <v/>
      </c>
      <c r="I13" s="225" t="str">
        <f>IFERROR(VLOOKUP($C13,'11月'!$C$7:$O$31,13,FALSE),"")</f>
        <v/>
      </c>
      <c r="J13" s="225" t="str">
        <f>IFERROR(VLOOKUP($C13,'12月'!$C$7:$O$31,13,FALSE),"")</f>
        <v/>
      </c>
      <c r="K13" s="226">
        <f t="shared" si="1"/>
        <v>0</v>
      </c>
      <c r="L13" s="227"/>
      <c r="M13" s="252"/>
      <c r="N13" s="228"/>
      <c r="O13" s="221"/>
      <c r="P13" s="230" t="s">
        <v>79</v>
      </c>
      <c r="Q13" s="100"/>
      <c r="R13" s="101" t="str">
        <f>IFERROR(VLOOKUP(Q13,参照ＴＡ!C$6:D$42,2,FALSE),"")</f>
        <v/>
      </c>
      <c r="S13" s="544"/>
      <c r="T13" s="223" t="str">
        <f t="shared" si="3"/>
        <v/>
      </c>
      <c r="U13" s="223">
        <f t="shared" si="2"/>
        <v>0</v>
      </c>
      <c r="W13" s="224" t="s">
        <v>79</v>
      </c>
      <c r="X13" s="187"/>
      <c r="Y13" s="188"/>
      <c r="Z13" s="225"/>
      <c r="AA13" s="225"/>
      <c r="AB13" s="231"/>
      <c r="AC13" s="225"/>
      <c r="AD13" s="232"/>
      <c r="AE13" s="225"/>
      <c r="AF13" s="226"/>
    </row>
    <row r="14" spans="2:32" s="163" customFormat="1" ht="14" x14ac:dyDescent="0.2">
      <c r="B14" s="224" t="s">
        <v>80</v>
      </c>
      <c r="C14" s="100"/>
      <c r="D14" s="101" t="str">
        <f t="shared" si="0"/>
        <v/>
      </c>
      <c r="E14" s="225" t="str">
        <f>IFERROR(VLOOKUP($C14,'7月'!$C$7:$O$31,13,FALSE),"")</f>
        <v/>
      </c>
      <c r="F14" s="225" t="str">
        <f>IFERROR(VLOOKUP($C14,'8月'!$C$7:$O$31,13,FALSE),"")</f>
        <v/>
      </c>
      <c r="G14" s="225" t="str">
        <f>IFERROR(VLOOKUP($C14,'9月'!$C$7:$O$31,13,FALSE),"")</f>
        <v/>
      </c>
      <c r="H14" s="225" t="str">
        <f>IFERROR(VLOOKUP($C14,'10月'!$C$7:$O$31,13,FALSE),"")</f>
        <v/>
      </c>
      <c r="I14" s="225" t="str">
        <f>IFERROR(VLOOKUP($C14,'11月'!$C$7:$O$31,13,FALSE),"")</f>
        <v/>
      </c>
      <c r="J14" s="225" t="str">
        <f>IFERROR(VLOOKUP($C14,'12月'!$C$7:$O$31,13,FALSE),"")</f>
        <v/>
      </c>
      <c r="K14" s="226">
        <f t="shared" si="1"/>
        <v>0</v>
      </c>
      <c r="L14" s="252"/>
      <c r="M14" s="252"/>
      <c r="N14" s="228"/>
      <c r="O14" s="221"/>
      <c r="P14" s="230" t="s">
        <v>80</v>
      </c>
      <c r="Q14" s="100"/>
      <c r="R14" s="101" t="str">
        <f>IFERROR(VLOOKUP(Q14,参照ＴＡ!C$6:D$42,2,FALSE),"")</f>
        <v/>
      </c>
      <c r="S14" s="543"/>
      <c r="T14" s="223" t="str">
        <f t="shared" si="3"/>
        <v/>
      </c>
      <c r="U14" s="223">
        <f t="shared" si="2"/>
        <v>0</v>
      </c>
      <c r="W14" s="224" t="s">
        <v>80</v>
      </c>
      <c r="X14" s="187"/>
      <c r="Y14" s="188"/>
      <c r="Z14" s="225"/>
      <c r="AA14" s="225"/>
      <c r="AB14" s="231"/>
      <c r="AC14" s="225"/>
      <c r="AD14" s="225"/>
      <c r="AE14" s="225"/>
      <c r="AF14" s="226"/>
    </row>
    <row r="15" spans="2:32" s="163" customFormat="1" ht="14" x14ac:dyDescent="0.2">
      <c r="B15" s="224" t="s">
        <v>81</v>
      </c>
      <c r="C15" s="100"/>
      <c r="D15" s="101" t="str">
        <f t="shared" si="0"/>
        <v/>
      </c>
      <c r="E15" s="225" t="str">
        <f>IFERROR(VLOOKUP($C15,'7月'!$C$7:$O$31,13,FALSE),"")</f>
        <v/>
      </c>
      <c r="F15" s="225" t="str">
        <f>IFERROR(VLOOKUP($C15,'8月'!$C$7:$O$31,13,FALSE),"")</f>
        <v/>
      </c>
      <c r="G15" s="225" t="str">
        <f>IFERROR(VLOOKUP($C15,'9月'!$C$7:$O$31,13,FALSE),"")</f>
        <v/>
      </c>
      <c r="H15" s="225" t="str">
        <f>IFERROR(VLOOKUP($C15,'10月'!$C$7:$O$31,13,FALSE),"")</f>
        <v/>
      </c>
      <c r="I15" s="225" t="str">
        <f>IFERROR(VLOOKUP($C15,'11月'!$C$7:$O$31,13,FALSE),"")</f>
        <v/>
      </c>
      <c r="J15" s="225" t="str">
        <f>IFERROR(VLOOKUP($C15,'12月'!$C$7:$O$31,13,FALSE),"")</f>
        <v/>
      </c>
      <c r="K15" s="226">
        <f t="shared" si="1"/>
        <v>0</v>
      </c>
      <c r="L15" s="252"/>
      <c r="M15" s="252"/>
      <c r="N15" s="228"/>
      <c r="O15" s="229"/>
      <c r="P15" s="230" t="s">
        <v>81</v>
      </c>
      <c r="Q15" s="300"/>
      <c r="R15" s="188" t="str">
        <f>IFERROR(VLOOKUP(Q15,参照ＴＡ!C$6:D$42,2,FALSE),"")</f>
        <v/>
      </c>
      <c r="S15" s="544"/>
      <c r="T15" s="223" t="str">
        <f t="shared" si="3"/>
        <v/>
      </c>
      <c r="U15" s="223">
        <f t="shared" ref="U15:U28" si="4">SUM(S15:T15)</f>
        <v>0</v>
      </c>
      <c r="W15" s="224" t="s">
        <v>81</v>
      </c>
      <c r="X15" s="187"/>
      <c r="Y15" s="188"/>
      <c r="Z15" s="225"/>
      <c r="AA15" s="225"/>
      <c r="AB15" s="225"/>
      <c r="AC15" s="232"/>
      <c r="AD15" s="225"/>
      <c r="AE15" s="225"/>
      <c r="AF15" s="226"/>
    </row>
    <row r="16" spans="2:32" s="163" customFormat="1" ht="14" x14ac:dyDescent="0.2">
      <c r="B16" s="235" t="s">
        <v>82</v>
      </c>
      <c r="C16" s="112"/>
      <c r="D16" s="113" t="str">
        <f t="shared" si="0"/>
        <v/>
      </c>
      <c r="E16" s="237" t="str">
        <f>IFERROR(VLOOKUP($C16,'7月'!$C$7:$O$31,13,FALSE),"")</f>
        <v/>
      </c>
      <c r="F16" s="244" t="str">
        <f>IFERROR(VLOOKUP($C16,'8月'!$C$7:$O$31,13,FALSE),"")</f>
        <v/>
      </c>
      <c r="G16" s="237" t="str">
        <f>IFERROR(VLOOKUP($C16,'9月'!$C$7:$O$31,13,FALSE),"")</f>
        <v/>
      </c>
      <c r="H16" s="237" t="str">
        <f>IFERROR(VLOOKUP($C16,'10月'!$C$7:$O$31,13,FALSE),"")</f>
        <v/>
      </c>
      <c r="I16" s="237" t="str">
        <f>IFERROR(VLOOKUP($C16,'11月'!$C$7:$O$31,13,FALSE),"")</f>
        <v/>
      </c>
      <c r="J16" s="237" t="str">
        <f>IFERROR(VLOOKUP($C16,'12月'!$C$7:$O$31,13,FALSE),"")</f>
        <v/>
      </c>
      <c r="K16" s="239">
        <f t="shared" si="1"/>
        <v>0</v>
      </c>
      <c r="L16" s="240"/>
      <c r="M16" s="254"/>
      <c r="N16" s="241"/>
      <c r="O16" s="221" t="s">
        <v>131</v>
      </c>
      <c r="P16" s="242" t="s">
        <v>82</v>
      </c>
      <c r="Q16" s="112"/>
      <c r="R16" s="190" t="str">
        <f>IFERROR(VLOOKUP(Q16,参照ＴＡ!C$6:D$42,2,FALSE),"")</f>
        <v/>
      </c>
      <c r="S16" s="546"/>
      <c r="T16" s="243" t="str">
        <f t="shared" si="3"/>
        <v/>
      </c>
      <c r="U16" s="243">
        <f t="shared" si="4"/>
        <v>0</v>
      </c>
      <c r="W16" s="235" t="s">
        <v>82</v>
      </c>
      <c r="X16" s="189"/>
      <c r="Y16" s="190"/>
      <c r="Z16" s="237"/>
      <c r="AA16" s="237"/>
      <c r="AB16" s="237"/>
      <c r="AC16" s="237"/>
      <c r="AD16" s="237"/>
      <c r="AE16" s="237"/>
      <c r="AF16" s="239"/>
    </row>
    <row r="17" spans="2:32" s="163" customFormat="1" ht="14" x14ac:dyDescent="0.2">
      <c r="B17" s="215" t="s">
        <v>102</v>
      </c>
      <c r="C17" s="89"/>
      <c r="D17" s="145" t="str">
        <f t="shared" si="0"/>
        <v/>
      </c>
      <c r="E17" s="329" t="str">
        <f>IFERROR(VLOOKUP($C17,'7月'!$C$7:$O$31,13,FALSE),"")</f>
        <v/>
      </c>
      <c r="F17" s="216" t="str">
        <f>IFERROR(VLOOKUP($C17,'8月'!$C$7:$O$31,13,FALSE),"")</f>
        <v/>
      </c>
      <c r="G17" s="218" t="str">
        <f>IFERROR(VLOOKUP($C17,'9月'!$C$7:$O$31,13,FALSE),"")</f>
        <v/>
      </c>
      <c r="H17" s="218" t="str">
        <f>IFERROR(VLOOKUP($C17,'10月'!$C$7:$O$31,13,FALSE),"")</f>
        <v/>
      </c>
      <c r="I17" s="216" t="str">
        <f>IFERROR(VLOOKUP($C17,'11月'!$C$7:$O$31,13,FALSE),"")</f>
        <v/>
      </c>
      <c r="J17" s="258" t="str">
        <f>IFERROR(VLOOKUP($C17,'12月'!$C$7:$O$31,13,FALSE),"")</f>
        <v/>
      </c>
      <c r="K17" s="247">
        <f t="shared" si="1"/>
        <v>0</v>
      </c>
      <c r="L17" s="248"/>
      <c r="M17" s="255"/>
      <c r="N17" s="249"/>
      <c r="O17" s="229"/>
      <c r="P17" s="222" t="s">
        <v>83</v>
      </c>
      <c r="Q17" s="89"/>
      <c r="R17" s="145" t="str">
        <f>IFERROR(VLOOKUP(Q17,参照ＴＡ!C$6:D$42,2,FALSE),"")</f>
        <v/>
      </c>
      <c r="S17" s="544"/>
      <c r="T17" s="250" t="str">
        <f t="shared" si="3"/>
        <v/>
      </c>
      <c r="U17" s="250">
        <f t="shared" si="4"/>
        <v>0</v>
      </c>
      <c r="W17" s="215" t="s">
        <v>83</v>
      </c>
      <c r="X17" s="185"/>
      <c r="Y17" s="193"/>
      <c r="Z17" s="216"/>
      <c r="AA17" s="246"/>
      <c r="AB17" s="251"/>
      <c r="AC17" s="216"/>
      <c r="AD17" s="216"/>
      <c r="AE17" s="256"/>
      <c r="AF17" s="247"/>
    </row>
    <row r="18" spans="2:32" s="163" customFormat="1" ht="14" x14ac:dyDescent="0.2">
      <c r="B18" s="224" t="s">
        <v>103</v>
      </c>
      <c r="C18" s="100"/>
      <c r="D18" s="145" t="str">
        <f t="shared" si="0"/>
        <v/>
      </c>
      <c r="E18" s="233" t="str">
        <f>IFERROR(VLOOKUP($C18,'7月'!$C$7:$O$31,13,FALSE),"")</f>
        <v/>
      </c>
      <c r="F18" s="253" t="str">
        <f>IFERROR(VLOOKUP($C18,'8月'!$C$7:$O$31,13,FALSE),"")</f>
        <v/>
      </c>
      <c r="G18" s="225" t="str">
        <f>IFERROR(VLOOKUP($C18,'9月'!$C$7:$O$31,13,FALSE),"")</f>
        <v/>
      </c>
      <c r="H18" s="225" t="str">
        <f>IFERROR(VLOOKUP($C18,'10月'!$C$7:$O$31,13,FALSE),"")</f>
        <v/>
      </c>
      <c r="I18" s="225" t="str">
        <f>IFERROR(VLOOKUP($C18,'11月'!$C$7:$O$31,13,FALSE),"")</f>
        <v/>
      </c>
      <c r="J18" s="225" t="str">
        <f>IFERROR(VLOOKUP($C18,'12月'!$C$7:$O$31,13,FALSE),"")</f>
        <v/>
      </c>
      <c r="K18" s="226">
        <f t="shared" si="1"/>
        <v>0</v>
      </c>
      <c r="L18" s="227"/>
      <c r="M18" s="252"/>
      <c r="N18" s="228"/>
      <c r="O18" s="221"/>
      <c r="P18" s="230" t="s">
        <v>84</v>
      </c>
      <c r="Q18" s="100"/>
      <c r="R18" s="145" t="str">
        <f>IFERROR(VLOOKUP(Q18,参照ＴＡ!C$6:D$42,2,FALSE),"")</f>
        <v/>
      </c>
      <c r="S18" s="544"/>
      <c r="T18" s="223" t="str">
        <f t="shared" si="3"/>
        <v/>
      </c>
      <c r="U18" s="223">
        <f t="shared" si="4"/>
        <v>0</v>
      </c>
      <c r="W18" s="224" t="s">
        <v>84</v>
      </c>
      <c r="X18" s="187"/>
      <c r="Y18" s="193"/>
      <c r="Z18" s="225"/>
      <c r="AA18" s="225"/>
      <c r="AB18" s="231"/>
      <c r="AC18" s="225"/>
      <c r="AD18" s="225"/>
      <c r="AE18" s="225"/>
      <c r="AF18" s="226"/>
    </row>
    <row r="19" spans="2:32" s="163" customFormat="1" ht="14" x14ac:dyDescent="0.2">
      <c r="B19" s="224" t="s">
        <v>85</v>
      </c>
      <c r="C19" s="100"/>
      <c r="D19" s="101" t="str">
        <f t="shared" si="0"/>
        <v/>
      </c>
      <c r="E19" s="225" t="str">
        <f>IFERROR(VLOOKUP($C19,'7月'!$C$7:$O$31,13,FALSE),"")</f>
        <v/>
      </c>
      <c r="F19" s="225" t="str">
        <f>IFERROR(VLOOKUP($C19,'8月'!$C$7:$O$31,13,FALSE),"")</f>
        <v/>
      </c>
      <c r="G19" s="233" t="str">
        <f>IFERROR(VLOOKUP($C19,'9月'!$C$7:$O$31,13,FALSE),"")</f>
        <v/>
      </c>
      <c r="H19" s="233" t="str">
        <f>IFERROR(VLOOKUP($C19,'10月'!$C$7:$O$31,13,FALSE),"")</f>
        <v/>
      </c>
      <c r="I19" s="225" t="str">
        <f>IFERROR(VLOOKUP($C19,'11月'!$C$7:$O$31,13,FALSE),"")</f>
        <v/>
      </c>
      <c r="J19" s="225" t="str">
        <f>IFERROR(VLOOKUP($C19,'12月'!$C$7:$O$31,13,FALSE),"")</f>
        <v/>
      </c>
      <c r="K19" s="226">
        <f t="shared" si="1"/>
        <v>0</v>
      </c>
      <c r="L19" s="227"/>
      <c r="M19" s="252"/>
      <c r="N19" s="228"/>
      <c r="O19" s="221"/>
      <c r="P19" s="230" t="s">
        <v>85</v>
      </c>
      <c r="Q19" s="300"/>
      <c r="R19" s="101" t="str">
        <f>IFERROR(VLOOKUP(Q19,参照ＴＡ!C$6:D$42,2,FALSE),"")</f>
        <v/>
      </c>
      <c r="S19" s="544"/>
      <c r="T19" s="223" t="str">
        <f t="shared" si="3"/>
        <v/>
      </c>
      <c r="U19" s="223">
        <f t="shared" si="4"/>
        <v>0</v>
      </c>
      <c r="W19" s="224" t="s">
        <v>85</v>
      </c>
      <c r="X19" s="187"/>
      <c r="Y19" s="188"/>
      <c r="Z19" s="225"/>
      <c r="AA19" s="232"/>
      <c r="AB19" s="232"/>
      <c r="AC19" s="225"/>
      <c r="AD19" s="225"/>
      <c r="AE19" s="225"/>
      <c r="AF19" s="226"/>
    </row>
    <row r="20" spans="2:32" s="163" customFormat="1" ht="14" x14ac:dyDescent="0.2">
      <c r="B20" s="224" t="s">
        <v>86</v>
      </c>
      <c r="C20" s="300"/>
      <c r="D20" s="188" t="str">
        <f t="shared" si="0"/>
        <v/>
      </c>
      <c r="E20" s="225" t="str">
        <f>IFERROR(VLOOKUP($C20,'7月'!$C$7:$O$31,13,FALSE),"")</f>
        <v/>
      </c>
      <c r="F20" s="225" t="str">
        <f>IFERROR(VLOOKUP($C20,'8月'!$C$7:$O$31,13,FALSE),"")</f>
        <v/>
      </c>
      <c r="G20" s="225" t="str">
        <f>IFERROR(VLOOKUP($C20,'9月'!$C$7:$O$31,13,FALSE),"")</f>
        <v/>
      </c>
      <c r="H20" s="225" t="str">
        <f>IFERROR(VLOOKUP($C20,'10月'!$C$7:$O$31,13,FALSE),"")</f>
        <v/>
      </c>
      <c r="I20" s="225" t="str">
        <f>IFERROR(VLOOKUP($C20,'11月'!$C$7:$O$31,13,FALSE),"")</f>
        <v/>
      </c>
      <c r="J20" s="225" t="str">
        <f>IFERROR(VLOOKUP($C20,'12月'!$C$7:$O$31,13,FALSE),"")</f>
        <v/>
      </c>
      <c r="K20" s="226">
        <f t="shared" si="1"/>
        <v>0</v>
      </c>
      <c r="L20" s="227"/>
      <c r="M20" s="252"/>
      <c r="N20" s="228"/>
      <c r="O20" s="229"/>
      <c r="P20" s="230" t="s">
        <v>86</v>
      </c>
      <c r="Q20" s="100"/>
      <c r="R20" s="188" t="str">
        <f>IFERROR(VLOOKUP(Q20,参照ＴＡ!C$6:D$42,2,FALSE),"")</f>
        <v/>
      </c>
      <c r="S20" s="544"/>
      <c r="T20" s="223" t="str">
        <f t="shared" si="3"/>
        <v/>
      </c>
      <c r="U20" s="223">
        <f t="shared" si="4"/>
        <v>0</v>
      </c>
      <c r="W20" s="224" t="s">
        <v>86</v>
      </c>
      <c r="X20" s="187"/>
      <c r="Y20" s="188"/>
      <c r="Z20" s="225"/>
      <c r="AA20" s="231"/>
      <c r="AB20" s="231"/>
      <c r="AC20" s="225"/>
      <c r="AD20" s="225"/>
      <c r="AE20" s="225"/>
      <c r="AF20" s="226"/>
    </row>
    <row r="21" spans="2:32" s="163" customFormat="1" ht="14" x14ac:dyDescent="0.2">
      <c r="B21" s="235" t="s">
        <v>87</v>
      </c>
      <c r="C21" s="112"/>
      <c r="D21" s="236" t="str">
        <f t="shared" si="0"/>
        <v/>
      </c>
      <c r="E21" s="237" t="str">
        <f>IFERROR(VLOOKUP($C21,'7月'!$C$7:$O$31,13,FALSE),"")</f>
        <v/>
      </c>
      <c r="F21" s="237" t="str">
        <f>IFERROR(VLOOKUP($C21,'8月'!$C$7:$O$31,13,FALSE),"")</f>
        <v/>
      </c>
      <c r="G21" s="237" t="str">
        <f>IFERROR(VLOOKUP($C21,'9月'!$C$7:$O$31,13,FALSE),"")</f>
        <v/>
      </c>
      <c r="H21" s="237" t="str">
        <f>IFERROR(VLOOKUP($C21,'10月'!$C$7:$O$31,13,FALSE),"")</f>
        <v/>
      </c>
      <c r="I21" s="237" t="str">
        <f>IFERROR(VLOOKUP($C21,'11月'!$C$7:$O$31,13,FALSE),"")</f>
        <v/>
      </c>
      <c r="J21" s="237" t="str">
        <f>IFERROR(VLOOKUP($C21,'12月'!$C$7:$O$31,13,FALSE),"")</f>
        <v/>
      </c>
      <c r="K21" s="239">
        <f t="shared" si="1"/>
        <v>0</v>
      </c>
      <c r="L21" s="240"/>
      <c r="M21" s="254"/>
      <c r="N21" s="241"/>
      <c r="O21" s="221"/>
      <c r="P21" s="242" t="s">
        <v>87</v>
      </c>
      <c r="Q21" s="112"/>
      <c r="R21" s="317" t="str">
        <f>IFERROR(VLOOKUP(Q21,参照ＴＡ!C$6:D$42,2,FALSE),"")</f>
        <v/>
      </c>
      <c r="S21" s="546"/>
      <c r="T21" s="243" t="str">
        <f t="shared" si="3"/>
        <v/>
      </c>
      <c r="U21" s="243">
        <f t="shared" si="4"/>
        <v>0</v>
      </c>
      <c r="W21" s="235" t="s">
        <v>87</v>
      </c>
      <c r="X21" s="189"/>
      <c r="Y21" s="236"/>
      <c r="Z21" s="237"/>
      <c r="AA21" s="237"/>
      <c r="AB21" s="245"/>
      <c r="AC21" s="237"/>
      <c r="AD21" s="237"/>
      <c r="AE21" s="237"/>
      <c r="AF21" s="239"/>
    </row>
    <row r="22" spans="2:32" s="163" customFormat="1" ht="14" x14ac:dyDescent="0.2">
      <c r="B22" s="215" t="s">
        <v>88</v>
      </c>
      <c r="C22" s="132"/>
      <c r="D22" s="186" t="str">
        <f t="shared" si="0"/>
        <v/>
      </c>
      <c r="E22" s="216" t="str">
        <f>IFERROR(VLOOKUP($C22,'7月'!$C$7:$O$31,13,FALSE),"")</f>
        <v/>
      </c>
      <c r="F22" s="216" t="str">
        <f>IFERROR(VLOOKUP($C22,'8月'!$C$7:$O$31,13,FALSE),"")</f>
        <v/>
      </c>
      <c r="G22" s="216" t="str">
        <f>IFERROR(VLOOKUP($C22,'9月'!$C$7:$O$31,13,FALSE),"")</f>
        <v/>
      </c>
      <c r="H22" s="216" t="str">
        <f>IFERROR(VLOOKUP($C22,'10月'!$C$7:$O$31,13,FALSE),"")</f>
        <v/>
      </c>
      <c r="I22" s="216" t="str">
        <f>IFERROR(VLOOKUP($C22,'11月'!$C$7:$O$31,13,FALSE),"")</f>
        <v/>
      </c>
      <c r="J22" s="216" t="str">
        <f>IFERROR(VLOOKUP($C22,'12月'!$C$7:$O$31,13,FALSE),"")</f>
        <v/>
      </c>
      <c r="K22" s="218">
        <f t="shared" si="1"/>
        <v>0</v>
      </c>
      <c r="L22" s="219"/>
      <c r="M22" s="255"/>
      <c r="N22" s="249"/>
      <c r="O22" s="221"/>
      <c r="P22" s="222" t="s">
        <v>88</v>
      </c>
      <c r="Q22" s="132"/>
      <c r="R22" s="90" t="str">
        <f>IFERROR(VLOOKUP(Q22,参照ＴＡ!C$6:D$42,2,FALSE),"")</f>
        <v/>
      </c>
      <c r="S22" s="545"/>
      <c r="T22" s="250" t="str">
        <f t="shared" si="3"/>
        <v/>
      </c>
      <c r="U22" s="250">
        <f t="shared" si="4"/>
        <v>0</v>
      </c>
      <c r="W22" s="215" t="s">
        <v>88</v>
      </c>
      <c r="X22" s="257"/>
      <c r="Y22" s="186"/>
      <c r="Z22" s="216"/>
      <c r="AA22" s="251"/>
      <c r="AB22" s="251"/>
      <c r="AC22" s="246"/>
      <c r="AD22" s="216"/>
      <c r="AE22" s="216"/>
      <c r="AF22" s="247"/>
    </row>
    <row r="23" spans="2:32" s="163" customFormat="1" ht="14" x14ac:dyDescent="0.2">
      <c r="B23" s="224" t="s">
        <v>89</v>
      </c>
      <c r="C23" s="100"/>
      <c r="D23" s="101" t="str">
        <f t="shared" si="0"/>
        <v/>
      </c>
      <c r="E23" s="258" t="str">
        <f>IFERROR(VLOOKUP($C23,'7月'!$C$7:$O$31,13,FALSE),"")</f>
        <v/>
      </c>
      <c r="F23" s="258" t="str">
        <f>IFERROR(VLOOKUP($C23,'8月'!$C$7:$O$31,13,FALSE),"")</f>
        <v/>
      </c>
      <c r="G23" s="258" t="str">
        <f>IFERROR(VLOOKUP($C23,'9月'!$C$7:$O$31,13,FALSE),"")</f>
        <v/>
      </c>
      <c r="H23" s="258" t="str">
        <f>IFERROR(VLOOKUP($C23,'10月'!$C$7:$O$31,13,FALSE),"")</f>
        <v/>
      </c>
      <c r="I23" s="258" t="str">
        <f>IFERROR(VLOOKUP($C23,'11月'!$C$7:$O$31,13,FALSE),"")</f>
        <v/>
      </c>
      <c r="J23" s="258" t="str">
        <f>IFERROR(VLOOKUP($C23,'12月'!$C$7:$O$31,13,FALSE),"")</f>
        <v/>
      </c>
      <c r="K23" s="247">
        <f t="shared" si="1"/>
        <v>0</v>
      </c>
      <c r="L23" s="227"/>
      <c r="M23" s="255"/>
      <c r="N23" s="249"/>
      <c r="O23" s="229"/>
      <c r="P23" s="230" t="s">
        <v>89</v>
      </c>
      <c r="Q23" s="100"/>
      <c r="R23" s="188" t="str">
        <f>IFERROR(VLOOKUP(Q23,参照ＴＡ!C$6:D$42,2,FALSE),"")</f>
        <v/>
      </c>
      <c r="S23" s="544"/>
      <c r="T23" s="223" t="str">
        <f t="shared" si="3"/>
        <v/>
      </c>
      <c r="U23" s="223">
        <f t="shared" si="4"/>
        <v>0</v>
      </c>
      <c r="W23" s="224" t="s">
        <v>89</v>
      </c>
      <c r="X23" s="187"/>
      <c r="Y23" s="188"/>
      <c r="Z23" s="234"/>
      <c r="AA23" s="253"/>
      <c r="AB23" s="231"/>
      <c r="AC23" s="225"/>
      <c r="AD23" s="225"/>
      <c r="AE23" s="225"/>
      <c r="AF23" s="226"/>
    </row>
    <row r="24" spans="2:32" s="163" customFormat="1" ht="14" x14ac:dyDescent="0.2">
      <c r="B24" s="224" t="s">
        <v>90</v>
      </c>
      <c r="C24" s="100"/>
      <c r="D24" s="101" t="str">
        <f t="shared" si="0"/>
        <v/>
      </c>
      <c r="E24" s="225" t="str">
        <f>IFERROR(VLOOKUP($C24,'7月'!$C$7:$O$31,13,FALSE),"")</f>
        <v/>
      </c>
      <c r="F24" s="225" t="str">
        <f>IFERROR(VLOOKUP($C24,'8月'!$C$7:$O$31,13,FALSE),"")</f>
        <v/>
      </c>
      <c r="G24" s="225" t="str">
        <f>IFERROR(VLOOKUP($C24,'9月'!$C$7:$O$31,13,FALSE),"")</f>
        <v/>
      </c>
      <c r="H24" s="225" t="str">
        <f>IFERROR(VLOOKUP($C24,'10月'!$C$7:$O$31,13,FALSE),"")</f>
        <v/>
      </c>
      <c r="I24" s="253" t="str">
        <f>IFERROR(VLOOKUP($C24,'11月'!$C$7:$O$31,13,FALSE),"")</f>
        <v/>
      </c>
      <c r="J24" s="264" t="str">
        <f>IFERROR(VLOOKUP($C24,'12月'!$C$7:$O$31,13,FALSE),"")</f>
        <v/>
      </c>
      <c r="K24" s="247">
        <f t="shared" si="1"/>
        <v>0</v>
      </c>
      <c r="L24" s="227"/>
      <c r="M24" s="252"/>
      <c r="N24" s="228"/>
      <c r="O24" s="229"/>
      <c r="P24" s="230" t="s">
        <v>90</v>
      </c>
      <c r="Q24" s="100"/>
      <c r="R24" s="188" t="str">
        <f>IFERROR(VLOOKUP(Q24,参照ＴＡ!C$6:D$42,2,FALSE),"")</f>
        <v/>
      </c>
      <c r="S24" s="544"/>
      <c r="T24" s="223" t="str">
        <f t="shared" si="3"/>
        <v/>
      </c>
      <c r="U24" s="223">
        <f t="shared" si="4"/>
        <v>0</v>
      </c>
      <c r="W24" s="224" t="s">
        <v>90</v>
      </c>
      <c r="X24" s="187"/>
      <c r="Y24" s="188"/>
      <c r="Z24" s="225"/>
      <c r="AA24" s="225"/>
      <c r="AB24" s="231"/>
      <c r="AC24" s="225"/>
      <c r="AD24" s="225"/>
      <c r="AE24" s="253"/>
      <c r="AF24" s="226"/>
    </row>
    <row r="25" spans="2:32" s="163" customFormat="1" ht="14" x14ac:dyDescent="0.2">
      <c r="B25" s="224" t="s">
        <v>91</v>
      </c>
      <c r="C25" s="100"/>
      <c r="D25" s="188" t="str">
        <f t="shared" si="0"/>
        <v/>
      </c>
      <c r="E25" s="225" t="str">
        <f>IFERROR(VLOOKUP($C25,'7月'!$C$7:$O$31,13,FALSE),"")</f>
        <v/>
      </c>
      <c r="F25" s="225" t="str">
        <f>IFERROR(VLOOKUP($C25,'8月'!$C$7:$O$31,13,FALSE),"")</f>
        <v/>
      </c>
      <c r="G25" s="225" t="str">
        <f>IFERROR(VLOOKUP($C25,'9月'!$C$7:$O$31,13,FALSE),"")</f>
        <v/>
      </c>
      <c r="H25" s="225" t="str">
        <f>IFERROR(VLOOKUP($C25,'10月'!$C$7:$O$31,13,FALSE),"")</f>
        <v/>
      </c>
      <c r="I25" s="225" t="str">
        <f>IFERROR(VLOOKUP($C25,'11月'!$C$7:$O$31,13,FALSE),"")</f>
        <v/>
      </c>
      <c r="J25" s="258" t="str">
        <f>IFERROR(VLOOKUP($C25,'12月'!$C$7:$O$31,13,FALSE),"")</f>
        <v/>
      </c>
      <c r="K25" s="247">
        <f t="shared" si="1"/>
        <v>0</v>
      </c>
      <c r="L25" s="227"/>
      <c r="M25" s="252"/>
      <c r="N25" s="228"/>
      <c r="O25" s="260"/>
      <c r="P25" s="230" t="s">
        <v>91</v>
      </c>
      <c r="Q25" s="187"/>
      <c r="R25" s="188" t="str">
        <f>IFERROR(VLOOKUP(Q25,参照ＴＡ!C$6:D$42,2,FALSE),"")</f>
        <v/>
      </c>
      <c r="S25" s="544"/>
      <c r="T25" s="223" t="str">
        <f t="shared" si="3"/>
        <v/>
      </c>
      <c r="U25" s="223">
        <f t="shared" si="4"/>
        <v>0</v>
      </c>
      <c r="W25" s="224" t="s">
        <v>91</v>
      </c>
      <c r="X25" s="187"/>
      <c r="Y25" s="188"/>
      <c r="Z25" s="225"/>
      <c r="AA25" s="225"/>
      <c r="AB25" s="231"/>
      <c r="AC25" s="225"/>
      <c r="AD25" s="225"/>
      <c r="AE25" s="225"/>
      <c r="AF25" s="226"/>
    </row>
    <row r="26" spans="2:32" s="163" customFormat="1" ht="14" x14ac:dyDescent="0.2">
      <c r="B26" s="235" t="s">
        <v>104</v>
      </c>
      <c r="C26" s="189"/>
      <c r="D26" s="190" t="str">
        <f t="shared" si="0"/>
        <v/>
      </c>
      <c r="E26" s="237" t="str">
        <f>IFERROR(VLOOKUP($C26,'7月'!$C$7:$O$31,13,FALSE),"")</f>
        <v/>
      </c>
      <c r="F26" s="237" t="str">
        <f>IFERROR(VLOOKUP($C26,'8月'!$C$7:$O$31,13,FALSE),"")</f>
        <v/>
      </c>
      <c r="G26" s="244" t="str">
        <f>IFERROR(VLOOKUP($C26,'9月'!$C$7:$O$31,13,FALSE),"")</f>
        <v/>
      </c>
      <c r="H26" s="237" t="str">
        <f>IFERROR(VLOOKUP($C26,'10月'!$C$7:$O$31,13,FALSE),"")</f>
        <v/>
      </c>
      <c r="I26" s="237" t="str">
        <f>IFERROR(VLOOKUP($C26,'11月'!$C$7:$O$31,13,FALSE),"")</f>
        <v/>
      </c>
      <c r="J26" s="237" t="str">
        <f>IFERROR(VLOOKUP($C26,'12月'!$C$7:$O$31,13,FALSE),"")</f>
        <v/>
      </c>
      <c r="K26" s="239">
        <f t="shared" si="1"/>
        <v>0</v>
      </c>
      <c r="L26" s="240"/>
      <c r="M26" s="254"/>
      <c r="N26" s="241"/>
      <c r="O26" s="229"/>
      <c r="P26" s="242" t="s">
        <v>92</v>
      </c>
      <c r="Q26" s="330"/>
      <c r="R26" s="190" t="str">
        <f>IFERROR(VLOOKUP(Q26,参照ＴＡ!C$6:D$42,2,FALSE),"")</f>
        <v/>
      </c>
      <c r="S26" s="546"/>
      <c r="T26" s="243" t="str">
        <f t="shared" si="3"/>
        <v/>
      </c>
      <c r="U26" s="243">
        <f t="shared" si="4"/>
        <v>0</v>
      </c>
      <c r="W26" s="235" t="s">
        <v>92</v>
      </c>
      <c r="X26" s="189"/>
      <c r="Y26" s="190"/>
      <c r="Z26" s="237"/>
      <c r="AA26" s="238"/>
      <c r="AB26" s="245"/>
      <c r="AC26" s="237"/>
      <c r="AD26" s="237"/>
      <c r="AE26" s="237"/>
      <c r="AF26" s="239"/>
    </row>
    <row r="27" spans="2:32" s="163" customFormat="1" ht="14" x14ac:dyDescent="0.2">
      <c r="B27" s="215" t="s">
        <v>93</v>
      </c>
      <c r="C27" s="100"/>
      <c r="D27" s="193" t="str">
        <f t="shared" ref="D27:D28" si="5">IF(ISBLANK(C27),"",VLOOKUP(C27,各艇データ,2,FALSE))</f>
        <v/>
      </c>
      <c r="E27" s="216"/>
      <c r="F27" s="216"/>
      <c r="G27" s="216"/>
      <c r="H27" s="216"/>
      <c r="I27" s="216"/>
      <c r="J27" s="258"/>
      <c r="K27" s="247"/>
      <c r="L27" s="248"/>
      <c r="M27" s="255"/>
      <c r="N27" s="249"/>
      <c r="O27" s="229"/>
      <c r="P27" s="222" t="s">
        <v>93</v>
      </c>
      <c r="Q27" s="187"/>
      <c r="R27" s="193" t="str">
        <f>IFERROR(VLOOKUP(Q27,参照ＴＡ!C$6:D$42,2,FALSE),"")</f>
        <v/>
      </c>
      <c r="S27" s="545"/>
      <c r="T27" s="250" t="str">
        <f t="shared" si="3"/>
        <v/>
      </c>
      <c r="U27" s="250">
        <f t="shared" si="4"/>
        <v>0</v>
      </c>
      <c r="W27" s="215" t="s">
        <v>93</v>
      </c>
      <c r="X27" s="187"/>
      <c r="Y27" s="193"/>
      <c r="Z27" s="256"/>
      <c r="AA27" s="216"/>
      <c r="AB27" s="261"/>
      <c r="AC27" s="216"/>
      <c r="AD27" s="216"/>
      <c r="AE27" s="216"/>
      <c r="AF27" s="247"/>
    </row>
    <row r="28" spans="2:32" s="163" customFormat="1" ht="14" x14ac:dyDescent="0.2">
      <c r="B28" s="224" t="s">
        <v>94</v>
      </c>
      <c r="C28" s="191"/>
      <c r="D28" s="188" t="str">
        <f t="shared" si="5"/>
        <v/>
      </c>
      <c r="E28" s="253"/>
      <c r="F28" s="225"/>
      <c r="G28" s="225"/>
      <c r="H28" s="225"/>
      <c r="I28" s="225"/>
      <c r="J28" s="225"/>
      <c r="K28" s="226"/>
      <c r="L28" s="227"/>
      <c r="M28" s="252"/>
      <c r="N28" s="228"/>
      <c r="O28" s="221"/>
      <c r="P28" s="230" t="s">
        <v>94</v>
      </c>
      <c r="Q28" s="132"/>
      <c r="R28" s="188" t="str">
        <f>IFERROR(VLOOKUP(Q28,参照ＴＡ!C$6:D$42,2,FALSE),"")</f>
        <v/>
      </c>
      <c r="S28" s="544"/>
      <c r="T28" s="223" t="str">
        <f t="shared" si="3"/>
        <v/>
      </c>
      <c r="U28" s="223">
        <f t="shared" si="4"/>
        <v>0</v>
      </c>
      <c r="W28" s="224" t="s">
        <v>94</v>
      </c>
      <c r="X28" s="191"/>
      <c r="Y28" s="188"/>
      <c r="Z28" s="225"/>
      <c r="AA28" s="232"/>
      <c r="AB28" s="231"/>
      <c r="AC28" s="225"/>
      <c r="AD28" s="225"/>
      <c r="AE28" s="225"/>
      <c r="AF28" s="226"/>
    </row>
    <row r="29" spans="2:32" s="163" customFormat="1" ht="14" x14ac:dyDescent="0.2">
      <c r="B29" s="224" t="s">
        <v>95</v>
      </c>
      <c r="C29" s="187"/>
      <c r="D29" s="188" t="str">
        <f t="shared" ref="D29:D36" si="6">IF(ISBLANK(C29),"",VLOOKUP(C29,各艇データ,2,FALSE))</f>
        <v/>
      </c>
      <c r="E29" s="225"/>
      <c r="F29" s="225"/>
      <c r="G29" s="225"/>
      <c r="H29" s="225"/>
      <c r="I29" s="225"/>
      <c r="J29" s="225"/>
      <c r="K29" s="226"/>
      <c r="L29" s="227"/>
      <c r="M29" s="252"/>
      <c r="N29" s="228"/>
      <c r="O29" s="221"/>
      <c r="P29" s="230" t="s">
        <v>95</v>
      </c>
      <c r="Q29" s="187"/>
      <c r="R29" s="188" t="str">
        <f>IFERROR(VLOOKUP(Q29,参照ＴＡ!C$6:D$42,2,FALSE),"")</f>
        <v/>
      </c>
      <c r="S29" s="544"/>
      <c r="T29" s="223" t="str">
        <f t="shared" si="3"/>
        <v/>
      </c>
      <c r="U29" s="223">
        <f t="shared" ref="U29:U31" si="7">SUM(S29:T29)</f>
        <v>0</v>
      </c>
      <c r="W29" s="224" t="s">
        <v>95</v>
      </c>
      <c r="X29" s="187"/>
      <c r="Y29" s="188"/>
      <c r="Z29" s="253"/>
      <c r="AA29" s="225"/>
      <c r="AB29" s="231"/>
      <c r="AC29" s="225"/>
      <c r="AD29" s="225"/>
      <c r="AE29" s="225"/>
      <c r="AF29" s="226"/>
    </row>
    <row r="30" spans="2:32" s="163" customFormat="1" ht="14" x14ac:dyDescent="0.2">
      <c r="B30" s="224" t="s">
        <v>96</v>
      </c>
      <c r="C30" s="187"/>
      <c r="D30" s="188" t="str">
        <f t="shared" si="6"/>
        <v/>
      </c>
      <c r="E30" s="225"/>
      <c r="F30" s="225"/>
      <c r="G30" s="225"/>
      <c r="H30" s="225"/>
      <c r="I30" s="225"/>
      <c r="J30" s="225"/>
      <c r="K30" s="226"/>
      <c r="L30" s="227"/>
      <c r="M30" s="252"/>
      <c r="N30" s="228"/>
      <c r="O30" s="221"/>
      <c r="P30" s="230" t="s">
        <v>96</v>
      </c>
      <c r="Q30" s="187"/>
      <c r="R30" s="188" t="str">
        <f>IFERROR(VLOOKUP(Q30,参照ＴＡ!C$6:D$42,2,FALSE),"")</f>
        <v/>
      </c>
      <c r="S30" s="544"/>
      <c r="T30" s="223" t="str">
        <f t="shared" si="3"/>
        <v/>
      </c>
      <c r="U30" s="223">
        <f t="shared" si="7"/>
        <v>0</v>
      </c>
      <c r="W30" s="224" t="s">
        <v>96</v>
      </c>
      <c r="X30" s="187"/>
      <c r="Y30" s="188"/>
      <c r="Z30" s="225"/>
      <c r="AA30" s="232"/>
      <c r="AB30" s="231"/>
      <c r="AC30" s="225"/>
      <c r="AD30" s="225"/>
      <c r="AE30" s="225"/>
      <c r="AF30" s="226"/>
    </row>
    <row r="31" spans="2:32" s="163" customFormat="1" ht="14" x14ac:dyDescent="0.2">
      <c r="B31" s="235" t="s">
        <v>97</v>
      </c>
      <c r="C31" s="189"/>
      <c r="D31" s="190" t="str">
        <f t="shared" si="6"/>
        <v/>
      </c>
      <c r="E31" s="237"/>
      <c r="F31" s="237"/>
      <c r="G31" s="237"/>
      <c r="H31" s="237"/>
      <c r="I31" s="237"/>
      <c r="J31" s="237"/>
      <c r="K31" s="239"/>
      <c r="L31" s="240"/>
      <c r="M31" s="254"/>
      <c r="N31" s="241"/>
      <c r="O31" s="221"/>
      <c r="P31" s="242" t="s">
        <v>97</v>
      </c>
      <c r="Q31" s="189"/>
      <c r="R31" s="190" t="str">
        <f>IFERROR(VLOOKUP(Q31,参照ＴＡ!C$6:D$42,2,FALSE),"")</f>
        <v/>
      </c>
      <c r="S31" s="546"/>
      <c r="T31" s="243" t="str">
        <f t="shared" si="3"/>
        <v/>
      </c>
      <c r="U31" s="243">
        <f t="shared" si="7"/>
        <v>0</v>
      </c>
      <c r="W31" s="235" t="s">
        <v>97</v>
      </c>
      <c r="X31" s="189"/>
      <c r="Y31" s="190"/>
      <c r="Z31" s="237"/>
      <c r="AA31" s="237"/>
      <c r="AB31" s="245"/>
      <c r="AC31" s="237"/>
      <c r="AD31" s="237"/>
      <c r="AE31" s="237"/>
      <c r="AF31" s="239"/>
    </row>
    <row r="32" spans="2:32" s="163" customFormat="1" ht="14" x14ac:dyDescent="0.2">
      <c r="B32" s="263" t="s">
        <v>93</v>
      </c>
      <c r="C32" s="257"/>
      <c r="D32" s="193" t="str">
        <f t="shared" si="6"/>
        <v/>
      </c>
      <c r="E32" s="264"/>
      <c r="F32" s="258"/>
      <c r="G32" s="258"/>
      <c r="H32" s="265"/>
      <c r="I32" s="258"/>
      <c r="J32" s="258"/>
      <c r="K32" s="247"/>
      <c r="L32" s="248"/>
      <c r="M32" s="255"/>
      <c r="N32" s="249"/>
      <c r="O32" s="229"/>
      <c r="P32" s="222" t="s">
        <v>93</v>
      </c>
      <c r="Q32" s="257"/>
      <c r="R32" s="193"/>
      <c r="S32" s="545"/>
      <c r="T32" s="250"/>
      <c r="U32" s="250"/>
      <c r="W32" s="263" t="s">
        <v>93</v>
      </c>
      <c r="X32" s="257"/>
      <c r="Y32" s="193"/>
      <c r="Z32" s="264"/>
      <c r="AA32" s="258"/>
      <c r="AB32" s="259"/>
      <c r="AC32" s="258"/>
      <c r="AD32" s="265"/>
      <c r="AE32" s="258"/>
      <c r="AF32" s="247"/>
    </row>
    <row r="33" spans="2:32" s="163" customFormat="1" ht="14" x14ac:dyDescent="0.2">
      <c r="B33" s="224" t="s">
        <v>94</v>
      </c>
      <c r="C33" s="191"/>
      <c r="D33" s="188" t="str">
        <f t="shared" si="6"/>
        <v/>
      </c>
      <c r="E33" s="253"/>
      <c r="F33" s="225"/>
      <c r="G33" s="225"/>
      <c r="H33" s="225"/>
      <c r="I33" s="253"/>
      <c r="J33" s="253"/>
      <c r="K33" s="226"/>
      <c r="L33" s="227"/>
      <c r="M33" s="252"/>
      <c r="N33" s="228"/>
      <c r="O33" s="221"/>
      <c r="P33" s="230" t="s">
        <v>94</v>
      </c>
      <c r="Q33" s="191"/>
      <c r="R33" s="188"/>
      <c r="S33" s="544"/>
      <c r="T33" s="223"/>
      <c r="U33" s="223"/>
      <c r="W33" s="224" t="s">
        <v>94</v>
      </c>
      <c r="X33" s="191"/>
      <c r="Y33" s="188"/>
      <c r="Z33" s="253"/>
      <c r="AA33" s="225"/>
      <c r="AB33" s="231"/>
      <c r="AC33" s="225"/>
      <c r="AD33" s="225"/>
      <c r="AE33" s="253"/>
      <c r="AF33" s="226"/>
    </row>
    <row r="34" spans="2:32" s="163" customFormat="1" ht="14" x14ac:dyDescent="0.2">
      <c r="B34" s="224" t="s">
        <v>95</v>
      </c>
      <c r="C34" s="192"/>
      <c r="D34" s="188" t="str">
        <f t="shared" si="6"/>
        <v/>
      </c>
      <c r="E34" s="225"/>
      <c r="F34" s="231"/>
      <c r="G34" s="253"/>
      <c r="H34" s="225"/>
      <c r="I34" s="225"/>
      <c r="J34" s="225"/>
      <c r="K34" s="226"/>
      <c r="L34" s="227"/>
      <c r="M34" s="252"/>
      <c r="N34" s="228"/>
      <c r="O34" s="221"/>
      <c r="P34" s="230" t="s">
        <v>95</v>
      </c>
      <c r="Q34" s="187"/>
      <c r="R34" s="266" t="str">
        <f>IF(ISBLANK(Q34),"",VLOOKUP(Q34,各艇データ,2,FALSE))</f>
        <v/>
      </c>
      <c r="S34" s="544"/>
      <c r="T34" s="223"/>
      <c r="U34" s="223"/>
      <c r="W34" s="224" t="s">
        <v>95</v>
      </c>
      <c r="X34" s="192"/>
      <c r="Y34" s="188"/>
      <c r="Z34" s="225"/>
      <c r="AA34" s="231"/>
      <c r="AB34" s="231"/>
      <c r="AC34" s="253"/>
      <c r="AD34" s="225"/>
      <c r="AE34" s="225"/>
      <c r="AF34" s="226"/>
    </row>
    <row r="35" spans="2:32" s="163" customFormat="1" ht="14" x14ac:dyDescent="0.2">
      <c r="B35" s="224" t="s">
        <v>96</v>
      </c>
      <c r="C35" s="187"/>
      <c r="D35" s="188" t="str">
        <f t="shared" si="6"/>
        <v/>
      </c>
      <c r="E35" s="225"/>
      <c r="F35" s="225"/>
      <c r="G35" s="225"/>
      <c r="H35" s="225"/>
      <c r="I35" s="253"/>
      <c r="J35" s="253"/>
      <c r="K35" s="226"/>
      <c r="L35" s="227"/>
      <c r="M35" s="252"/>
      <c r="N35" s="228"/>
      <c r="O35" s="221"/>
      <c r="P35" s="230" t="s">
        <v>96</v>
      </c>
      <c r="Q35" s="187"/>
      <c r="R35" s="266"/>
      <c r="S35" s="544"/>
      <c r="T35" s="223"/>
      <c r="U35" s="223"/>
      <c r="W35" s="224" t="s">
        <v>96</v>
      </c>
      <c r="X35" s="187"/>
      <c r="Y35" s="188"/>
      <c r="Z35" s="225"/>
      <c r="AA35" s="225"/>
      <c r="AB35" s="225"/>
      <c r="AC35" s="225"/>
      <c r="AD35" s="225"/>
      <c r="AE35" s="253"/>
      <c r="AF35" s="226"/>
    </row>
    <row r="36" spans="2:32" s="163" customFormat="1" ht="14.5" thickBot="1" x14ac:dyDescent="0.25">
      <c r="B36" s="267" t="s">
        <v>97</v>
      </c>
      <c r="C36" s="268"/>
      <c r="D36" s="269" t="str">
        <f t="shared" si="6"/>
        <v/>
      </c>
      <c r="E36" s="270"/>
      <c r="F36" s="270"/>
      <c r="G36" s="270"/>
      <c r="H36" s="270"/>
      <c r="I36" s="270"/>
      <c r="J36" s="270"/>
      <c r="K36" s="271"/>
      <c r="L36" s="272"/>
      <c r="M36" s="273"/>
      <c r="N36" s="262"/>
      <c r="O36" s="221"/>
      <c r="P36" s="242" t="s">
        <v>97</v>
      </c>
      <c r="Q36" s="189"/>
      <c r="R36" s="274"/>
      <c r="S36" s="546"/>
      <c r="T36" s="243"/>
      <c r="U36" s="243"/>
      <c r="W36" s="267" t="s">
        <v>97</v>
      </c>
      <c r="X36" s="268"/>
      <c r="Y36" s="269" t="str">
        <f>IF(ISBLANK(X36),"",VLOOKUP(X36,各艇データ,2,FALSE))</f>
        <v/>
      </c>
      <c r="Z36" s="270"/>
      <c r="AA36" s="270"/>
      <c r="AB36" s="270"/>
      <c r="AC36" s="270"/>
      <c r="AD36" s="270"/>
      <c r="AE36" s="270"/>
      <c r="AF36" s="271"/>
    </row>
    <row r="37" spans="2:32" s="163" customFormat="1" ht="15" thickTop="1" thickBot="1" x14ac:dyDescent="0.25">
      <c r="B37" s="620" t="s">
        <v>98</v>
      </c>
      <c r="C37" s="621"/>
      <c r="D37" s="622"/>
      <c r="E37" s="275">
        <f t="shared" ref="E37:I37" si="8">COUNT(E7:E36)</f>
        <v>0</v>
      </c>
      <c r="F37" s="275">
        <f t="shared" si="8"/>
        <v>0</v>
      </c>
      <c r="G37" s="275">
        <f>COUNT(G7:G36)</f>
        <v>0</v>
      </c>
      <c r="H37" s="275">
        <f t="shared" si="8"/>
        <v>0</v>
      </c>
      <c r="I37" s="275">
        <f t="shared" si="8"/>
        <v>0</v>
      </c>
      <c r="J37" s="275"/>
      <c r="K37" s="275"/>
      <c r="L37" s="276"/>
      <c r="M37" s="277"/>
      <c r="N37" s="278"/>
      <c r="O37" s="221"/>
      <c r="P37" s="222" t="s">
        <v>113</v>
      </c>
      <c r="Q37" s="191"/>
      <c r="R37" s="279"/>
      <c r="S37" s="545"/>
      <c r="T37" s="250"/>
      <c r="U37" s="250"/>
      <c r="W37" s="638" t="s">
        <v>177</v>
      </c>
      <c r="X37" s="639"/>
      <c r="Y37" s="640"/>
      <c r="Z37" s="275">
        <f>COUNT(Z7:Z36)</f>
        <v>0</v>
      </c>
      <c r="AA37" s="275">
        <f>COUNT(AA7:AA36)</f>
        <v>0</v>
      </c>
      <c r="AB37" s="275">
        <f>COUNT(AB7:AB36)</f>
        <v>0</v>
      </c>
      <c r="AC37" s="275">
        <f>COUNT(AC7:AC36)</f>
        <v>0</v>
      </c>
      <c r="AD37" s="275">
        <f>COUNT(AD7:AD36)</f>
        <v>0</v>
      </c>
      <c r="AE37" s="275"/>
      <c r="AF37" s="275"/>
    </row>
    <row r="38" spans="2:32" s="163" customFormat="1" ht="14" x14ac:dyDescent="0.2">
      <c r="B38" s="159" t="s">
        <v>105</v>
      </c>
      <c r="C38" s="159"/>
      <c r="O38" s="221"/>
      <c r="P38" s="230" t="s">
        <v>114</v>
      </c>
      <c r="Q38" s="187"/>
      <c r="R38" s="266"/>
      <c r="S38" s="544"/>
      <c r="T38" s="223"/>
      <c r="U38" s="223"/>
      <c r="W38" s="159" t="s">
        <v>105</v>
      </c>
      <c r="X38" s="159"/>
    </row>
    <row r="39" spans="2:32" s="163" customFormat="1" ht="14" x14ac:dyDescent="0.2">
      <c r="B39" s="163" t="s">
        <v>300</v>
      </c>
      <c r="C39" s="159"/>
      <c r="K39" s="280"/>
      <c r="L39" s="280"/>
      <c r="M39" s="280"/>
      <c r="N39" s="280"/>
      <c r="O39" s="221"/>
      <c r="P39" s="230" t="s">
        <v>115</v>
      </c>
      <c r="Q39" s="187"/>
      <c r="R39" s="188" t="str">
        <f>IF(ISBLANK(Q39),"",VLOOKUP(Q39,各艇データ,2,FALSE))</f>
        <v/>
      </c>
      <c r="S39" s="544"/>
      <c r="T39" s="223"/>
      <c r="U39" s="223"/>
      <c r="X39" s="159"/>
      <c r="AC39" s="163" t="s">
        <v>296</v>
      </c>
      <c r="AF39" s="280"/>
    </row>
    <row r="40" spans="2:32" s="163" customFormat="1" ht="14" x14ac:dyDescent="0.2">
      <c r="C40" s="159" t="s">
        <v>301</v>
      </c>
      <c r="I40" s="623" t="s">
        <v>236</v>
      </c>
      <c r="J40" s="623"/>
      <c r="K40" s="623"/>
      <c r="L40" s="623"/>
      <c r="M40" s="623"/>
      <c r="N40" s="281"/>
      <c r="O40" s="221"/>
      <c r="P40" s="230" t="s">
        <v>116</v>
      </c>
      <c r="Q40" s="187"/>
      <c r="R40" s="188" t="str">
        <f>IF(ISBLANK(Q40),"",VLOOKUP(Q40,各艇データ,2,FALSE))</f>
        <v/>
      </c>
      <c r="S40" s="544"/>
      <c r="T40" s="223"/>
      <c r="U40" s="223"/>
      <c r="X40" s="159"/>
      <c r="AE40" s="623"/>
      <c r="AF40" s="623"/>
    </row>
    <row r="41" spans="2:32" s="163" customFormat="1" ht="14.5" thickBot="1" x14ac:dyDescent="0.25">
      <c r="C41" s="159"/>
      <c r="O41" s="221"/>
      <c r="P41" s="242" t="s">
        <v>117</v>
      </c>
      <c r="Q41" s="189"/>
      <c r="R41" s="274" t="s">
        <v>67</v>
      </c>
      <c r="S41" s="546"/>
      <c r="T41" s="243"/>
      <c r="U41" s="243"/>
      <c r="X41" s="159"/>
    </row>
    <row r="42" spans="2:32" s="163" customFormat="1" ht="14.5" thickTop="1" x14ac:dyDescent="0.2">
      <c r="C42" s="159"/>
      <c r="D42" s="282"/>
      <c r="E42" s="283"/>
      <c r="F42" s="283"/>
      <c r="G42" s="283"/>
      <c r="H42" s="284"/>
      <c r="O42" s="221"/>
      <c r="S42" s="214"/>
      <c r="X42" s="159"/>
      <c r="Y42" s="282"/>
      <c r="Z42" s="283"/>
      <c r="AA42" s="283"/>
      <c r="AB42" s="283"/>
      <c r="AC42" s="283"/>
      <c r="AD42" s="284"/>
    </row>
    <row r="43" spans="2:32" s="163" customFormat="1" ht="14" x14ac:dyDescent="0.2">
      <c r="C43" s="159"/>
      <c r="D43" s="285" t="s">
        <v>99</v>
      </c>
      <c r="E43" s="286"/>
      <c r="H43" s="287"/>
      <c r="S43" s="214"/>
      <c r="T43" s="163" t="s">
        <v>296</v>
      </c>
      <c r="X43" s="159"/>
      <c r="Y43" s="285" t="s">
        <v>99</v>
      </c>
      <c r="Z43" s="286"/>
      <c r="AD43" s="287"/>
    </row>
    <row r="44" spans="2:32" s="163" customFormat="1" ht="14" x14ac:dyDescent="0.2">
      <c r="C44" s="159"/>
      <c r="D44" s="617" t="s">
        <v>169</v>
      </c>
      <c r="E44" s="618"/>
      <c r="H44" s="287"/>
      <c r="P44" s="163" t="s">
        <v>302</v>
      </c>
      <c r="S44" s="214"/>
      <c r="X44" s="159"/>
      <c r="Y44" s="617" t="s">
        <v>169</v>
      </c>
      <c r="Z44" s="618"/>
      <c r="AD44" s="287"/>
    </row>
    <row r="45" spans="2:32" s="163" customFormat="1" ht="14" x14ac:dyDescent="0.2">
      <c r="C45" s="159"/>
      <c r="D45" s="617" t="s">
        <v>170</v>
      </c>
      <c r="E45" s="618"/>
      <c r="H45" s="287"/>
      <c r="P45" s="163" t="s">
        <v>303</v>
      </c>
      <c r="S45" s="214"/>
      <c r="X45" s="159"/>
      <c r="Y45" s="617" t="s">
        <v>170</v>
      </c>
      <c r="Z45" s="618"/>
      <c r="AD45" s="287"/>
    </row>
    <row r="46" spans="2:32" s="163" customFormat="1" ht="14" x14ac:dyDescent="0.2">
      <c r="C46" s="159"/>
      <c r="D46" s="285" t="s">
        <v>106</v>
      </c>
      <c r="E46" s="288" t="s">
        <v>171</v>
      </c>
      <c r="F46" s="289"/>
      <c r="G46" s="289"/>
      <c r="H46" s="287"/>
      <c r="S46" s="214"/>
      <c r="X46" s="159"/>
      <c r="Y46" s="285" t="s">
        <v>106</v>
      </c>
      <c r="Z46" s="288" t="s">
        <v>171</v>
      </c>
      <c r="AA46" s="289"/>
      <c r="AB46" s="289"/>
      <c r="AC46" s="289"/>
      <c r="AD46" s="287"/>
    </row>
    <row r="47" spans="2:32" s="163" customFormat="1" ht="14" x14ac:dyDescent="0.2">
      <c r="C47" s="159"/>
      <c r="D47" s="285" t="s">
        <v>107</v>
      </c>
      <c r="E47" s="288" t="s">
        <v>172</v>
      </c>
      <c r="F47" s="289"/>
      <c r="G47" s="289"/>
      <c r="H47" s="287"/>
      <c r="K47" s="290"/>
      <c r="S47" s="214"/>
      <c r="X47" s="159"/>
      <c r="Y47" s="285" t="s">
        <v>107</v>
      </c>
      <c r="Z47" s="288" t="s">
        <v>172</v>
      </c>
      <c r="AA47" s="289"/>
      <c r="AB47" s="289"/>
      <c r="AC47" s="289"/>
      <c r="AD47" s="287"/>
      <c r="AF47" s="290"/>
    </row>
    <row r="48" spans="2:32" s="163" customFormat="1" ht="14.5" thickBot="1" x14ac:dyDescent="0.25">
      <c r="C48" s="159"/>
      <c r="D48" s="291"/>
      <c r="E48" s="292"/>
      <c r="F48" s="292"/>
      <c r="G48" s="292"/>
      <c r="H48" s="293"/>
      <c r="S48" s="214"/>
      <c r="X48" s="159"/>
      <c r="Y48" s="291"/>
      <c r="Z48" s="292"/>
      <c r="AA48" s="292"/>
      <c r="AB48" s="292"/>
      <c r="AC48" s="292"/>
      <c r="AD48" s="293"/>
    </row>
    <row r="49" spans="3:24" s="163" customFormat="1" ht="14.5" thickTop="1" x14ac:dyDescent="0.2">
      <c r="C49" s="159"/>
      <c r="S49" s="214"/>
      <c r="X49" s="159"/>
    </row>
  </sheetData>
  <sheetProtection algorithmName="SHA-512" hashValue="MkGUqZBQoDcrDxP2U90DZiO3uwJADqHpxeyLZHneEow+tf4YgMPsqfJpsuY5KSj8Bi9MUC48L+kxE2YI3ycUzg==" saltValue="w7TTXLJXPYeqr9EuE38mfw==" spinCount="100000" sheet="1" objects="1" scenarios="1"/>
  <sortState xmlns:xlrd2="http://schemas.microsoft.com/office/spreadsheetml/2017/richdata2" ref="Q7:U14">
    <sortCondition descending="1" ref="U7:U14"/>
  </sortState>
  <mergeCells count="25">
    <mergeCell ref="W37:Y37"/>
    <mergeCell ref="AE40:AF40"/>
    <mergeCell ref="Y44:Z44"/>
    <mergeCell ref="Y45:Z45"/>
    <mergeCell ref="W1:AF1"/>
    <mergeCell ref="W2:AF2"/>
    <mergeCell ref="AE3:AF3"/>
    <mergeCell ref="W4:W6"/>
    <mergeCell ref="X4:X6"/>
    <mergeCell ref="Y4:Y6"/>
    <mergeCell ref="AF4:AF6"/>
    <mergeCell ref="B1:M1"/>
    <mergeCell ref="B4:B6"/>
    <mergeCell ref="C4:C6"/>
    <mergeCell ref="D4:D6"/>
    <mergeCell ref="K4:K6"/>
    <mergeCell ref="L4:L6"/>
    <mergeCell ref="M4:M6"/>
    <mergeCell ref="D45:E45"/>
    <mergeCell ref="I3:M3"/>
    <mergeCell ref="B37:D37"/>
    <mergeCell ref="I40:M40"/>
    <mergeCell ref="P2:U2"/>
    <mergeCell ref="B2:M2"/>
    <mergeCell ref="D44:E44"/>
  </mergeCells>
  <phoneticPr fontId="5"/>
  <dataValidations disablePrompts="1" count="3">
    <dataValidation type="list" allowBlank="1" showInputMessage="1" showErrorMessage="1" sqref="I6:J6 N6 Z6:AE6 E6:G6" xr:uid="{00000000-0002-0000-0600-000000000000}">
      <formula1>コース</formula1>
    </dataValidation>
    <dataValidation type="list" allowBlank="1" showInputMessage="1" showErrorMessage="1" sqref="N4 E4:J4 Z4:AE4" xr:uid="{00000000-0002-0000-0600-000001000000}">
      <formula1>レース番号</formula1>
    </dataValidation>
    <dataValidation type="list" allowBlank="1" showInputMessage="1" showErrorMessage="1" sqref="E5:J5 N5 Z5:AE5" xr:uid="{00000000-0002-0000-0600-000002000000}">
      <formula1>開催日</formula1>
    </dataValidation>
  </dataValidations>
  <pageMargins left="0.51181102362204722" right="0.31496062992125984" top="0.74803149606299213" bottom="0.74803149606299213" header="0.31496062992125984" footer="0.31496062992125984"/>
  <pageSetup paperSize="9" scale="92" orientation="portrait" horizontalDpi="300" verticalDpi="300" r:id="rId1"/>
  <colBreaks count="1" manualBreakCount="1">
    <brk id="21" max="4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600-000003000000}">
          <x14:formula1>
            <xm:f>参照ﾃﾞｰﾀ!$B$4:$B$17</xm:f>
          </x14:formula1>
          <xm:sqref>H6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T34"/>
  <sheetViews>
    <sheetView workbookViewId="0">
      <selection activeCell="R7" sqref="R7"/>
    </sheetView>
  </sheetViews>
  <sheetFormatPr defaultRowHeight="13" x14ac:dyDescent="0.2"/>
  <cols>
    <col min="1" max="1" width="2.453125" customWidth="1"/>
    <col min="2" max="13" width="8.36328125" customWidth="1"/>
    <col min="14" max="14" width="9.26953125" customWidth="1"/>
    <col min="15" max="15" width="7.6328125" customWidth="1"/>
    <col min="16" max="16" width="15.08984375" customWidth="1"/>
    <col min="17" max="17" width="13.90625" customWidth="1"/>
    <col min="18" max="18" width="13.7265625" bestFit="1" customWidth="1"/>
    <col min="19" max="19" width="12.453125" customWidth="1"/>
  </cols>
  <sheetData>
    <row r="1" spans="2:20" s="2" customFormat="1" ht="14.25" customHeight="1" x14ac:dyDescent="0.25"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O1" s="655" t="s">
        <v>289</v>
      </c>
      <c r="P1" s="655"/>
      <c r="Q1" s="655"/>
      <c r="R1" s="655"/>
      <c r="S1" s="655"/>
      <c r="T1" s="46"/>
    </row>
    <row r="2" spans="2:20" s="22" customFormat="1" ht="20.25" customHeight="1" x14ac:dyDescent="0.3">
      <c r="B2" s="659" t="s">
        <v>108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O2" s="45"/>
      <c r="P2" s="45"/>
      <c r="Q2" s="45"/>
      <c r="R2" s="47"/>
      <c r="S2" s="45"/>
      <c r="T2" s="46"/>
    </row>
    <row r="3" spans="2:20" s="2" customFormat="1" ht="21" customHeight="1" x14ac:dyDescent="0.2"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1" t="s">
        <v>304</v>
      </c>
      <c r="M3" s="662"/>
      <c r="O3" s="48"/>
      <c r="P3" s="48"/>
      <c r="Q3" s="48"/>
      <c r="R3" s="48"/>
      <c r="S3" s="46" t="s">
        <v>135</v>
      </c>
    </row>
    <row r="4" spans="2:20" s="2" customFormat="1" ht="20.25" customHeight="1" x14ac:dyDescent="0.2">
      <c r="B4" s="551" t="str">
        <f>参照ﾃﾞｰﾀ!Y4</f>
        <v>＃616</v>
      </c>
      <c r="C4" s="552" t="s">
        <v>228</v>
      </c>
      <c r="D4" s="551" t="str">
        <f>参照ﾃﾞｰﾀ!Y5</f>
        <v>＃617</v>
      </c>
      <c r="E4" s="552" t="s">
        <v>55</v>
      </c>
      <c r="F4" s="551" t="str">
        <f>参照ﾃﾞｰﾀ!Y6</f>
        <v>＃618</v>
      </c>
      <c r="G4" s="552" t="s">
        <v>183</v>
      </c>
      <c r="H4" s="551" t="str">
        <f>参照ﾃﾞｰﾀ!Y7</f>
        <v>＃619</v>
      </c>
      <c r="I4" s="552" t="s">
        <v>55</v>
      </c>
      <c r="J4" s="551" t="str">
        <f>参照ﾃﾞｰﾀ!Y8</f>
        <v>＃620</v>
      </c>
      <c r="K4" s="552" t="s">
        <v>32</v>
      </c>
      <c r="L4" s="551" t="str">
        <f>参照ﾃﾞｰﾀ!Y9</f>
        <v>＃621</v>
      </c>
      <c r="M4" s="553" t="s">
        <v>229</v>
      </c>
      <c r="O4" s="49"/>
      <c r="P4" s="49"/>
      <c r="Q4" s="49"/>
      <c r="R4" s="49"/>
      <c r="S4" s="49"/>
      <c r="T4" s="50"/>
    </row>
    <row r="5" spans="2:20" s="23" customFormat="1" ht="46.5" customHeight="1" x14ac:dyDescent="0.2">
      <c r="B5" s="653">
        <f>参照ﾃﾞｰﾀ!$J4</f>
        <v>46040</v>
      </c>
      <c r="C5" s="654"/>
      <c r="D5" s="653">
        <f>参照ﾃﾞｰﾀ!$J5</f>
        <v>46068</v>
      </c>
      <c r="E5" s="654"/>
      <c r="F5" s="653">
        <f>参照ﾃﾞｰﾀ!$J6</f>
        <v>46096</v>
      </c>
      <c r="G5" s="654"/>
      <c r="H5" s="653">
        <f>参照ﾃﾞｰﾀ!$J7</f>
        <v>46131</v>
      </c>
      <c r="I5" s="654"/>
      <c r="J5" s="653">
        <f>参照ﾃﾞｰﾀ!$J8</f>
        <v>46159</v>
      </c>
      <c r="K5" s="654"/>
      <c r="L5" s="653">
        <f>参照ﾃﾞｰﾀ!J9</f>
        <v>46194</v>
      </c>
      <c r="M5" s="654"/>
      <c r="O5" s="656" t="s">
        <v>136</v>
      </c>
      <c r="P5" s="657"/>
      <c r="Q5" s="51" t="s">
        <v>33</v>
      </c>
      <c r="R5" s="51" t="s">
        <v>137</v>
      </c>
      <c r="S5" s="51" t="s">
        <v>138</v>
      </c>
      <c r="T5" s="50"/>
    </row>
    <row r="6" spans="2:20" s="2" customFormat="1" ht="21" customHeight="1" x14ac:dyDescent="0.2">
      <c r="B6" s="554" t="s">
        <v>109</v>
      </c>
      <c r="C6" s="555" t="s">
        <v>69</v>
      </c>
      <c r="D6" s="554" t="s">
        <v>109</v>
      </c>
      <c r="E6" s="555" t="s">
        <v>69</v>
      </c>
      <c r="F6" s="554" t="s">
        <v>109</v>
      </c>
      <c r="G6" s="555" t="s">
        <v>69</v>
      </c>
      <c r="H6" s="554" t="s">
        <v>109</v>
      </c>
      <c r="I6" s="555" t="s">
        <v>69</v>
      </c>
      <c r="J6" s="554" t="s">
        <v>109</v>
      </c>
      <c r="K6" s="555" t="s">
        <v>69</v>
      </c>
      <c r="L6" s="554" t="s">
        <v>109</v>
      </c>
      <c r="M6" s="555" t="s">
        <v>69</v>
      </c>
      <c r="O6" s="52" t="s">
        <v>139</v>
      </c>
      <c r="P6" s="61">
        <f>参照ﾃﾞｰﾀ!Z4</f>
        <v>46040</v>
      </c>
      <c r="Q6" s="61" t="str">
        <f>参照ﾃﾞｰﾀ!AA4</f>
        <v>G</v>
      </c>
      <c r="R6" s="526" t="str">
        <f>参照ﾃﾞｰﾀ!AB4</f>
        <v>テティス</v>
      </c>
      <c r="S6" s="53"/>
      <c r="T6" s="47"/>
    </row>
    <row r="7" spans="2:20" s="2" customFormat="1" ht="18" customHeight="1" x14ac:dyDescent="0.2">
      <c r="B7" s="556"/>
      <c r="C7" s="557"/>
      <c r="D7" s="556"/>
      <c r="E7" s="557"/>
      <c r="F7" s="556"/>
      <c r="G7" s="558"/>
      <c r="H7" s="559"/>
      <c r="I7" s="557"/>
      <c r="J7" s="559"/>
      <c r="K7" s="557"/>
      <c r="L7" s="556"/>
      <c r="M7" s="557"/>
      <c r="O7" s="52" t="s">
        <v>140</v>
      </c>
      <c r="P7" s="61">
        <f>参照ﾃﾞｰﾀ!Z5</f>
        <v>46068</v>
      </c>
      <c r="Q7" s="61" t="str">
        <f>参照ﾃﾞｰﾀ!AA5</f>
        <v>E</v>
      </c>
      <c r="R7" s="527" t="str">
        <f>参照ﾃﾞｰﾀ!AB5</f>
        <v>はやとり</v>
      </c>
      <c r="S7" s="53"/>
      <c r="T7" s="47"/>
    </row>
    <row r="8" spans="2:20" s="2" customFormat="1" ht="18" customHeight="1" x14ac:dyDescent="0.2">
      <c r="B8" s="560"/>
      <c r="C8" s="561"/>
      <c r="D8" s="560"/>
      <c r="E8" s="557"/>
      <c r="F8" s="560"/>
      <c r="G8" s="561"/>
      <c r="H8" s="562"/>
      <c r="I8" s="557"/>
      <c r="J8" s="562"/>
      <c r="K8" s="561"/>
      <c r="L8" s="560"/>
      <c r="M8" s="561"/>
      <c r="O8" s="52" t="s">
        <v>141</v>
      </c>
      <c r="P8" s="61">
        <f>参照ﾃﾞｰﾀ!Z6</f>
        <v>46096</v>
      </c>
      <c r="Q8" s="61" t="str">
        <f>参照ﾃﾞｰﾀ!AA6</f>
        <v>F</v>
      </c>
      <c r="R8" s="527" t="str">
        <f>参照ﾃﾞｰﾀ!AB6</f>
        <v>ふるたか</v>
      </c>
      <c r="S8" s="53"/>
      <c r="T8" s="47"/>
    </row>
    <row r="9" spans="2:20" s="2" customFormat="1" ht="18" customHeight="1" x14ac:dyDescent="0.2">
      <c r="B9" s="563"/>
      <c r="C9" s="561"/>
      <c r="D9" s="563"/>
      <c r="E9" s="557"/>
      <c r="F9" s="560"/>
      <c r="G9" s="561"/>
      <c r="H9" s="563"/>
      <c r="I9" s="561"/>
      <c r="J9" s="564"/>
      <c r="K9" s="561"/>
      <c r="L9" s="563"/>
      <c r="M9" s="561"/>
      <c r="O9" s="52" t="s">
        <v>142</v>
      </c>
      <c r="P9" s="61">
        <f>参照ﾃﾞｰﾀ!Z7</f>
        <v>46131</v>
      </c>
      <c r="Q9" s="61" t="str">
        <f>参照ﾃﾞｰﾀ!AA7</f>
        <v>E</v>
      </c>
      <c r="R9" s="527" t="str">
        <f>参照ﾃﾞｰﾀ!AB7</f>
        <v>ネプチューン</v>
      </c>
      <c r="S9" s="53"/>
      <c r="T9" s="47"/>
    </row>
    <row r="10" spans="2:20" s="2" customFormat="1" ht="18" customHeight="1" x14ac:dyDescent="0.2">
      <c r="B10" s="563"/>
      <c r="C10" s="561"/>
      <c r="D10" s="563"/>
      <c r="E10" s="557"/>
      <c r="F10" s="560"/>
      <c r="G10" s="561"/>
      <c r="H10" s="564"/>
      <c r="I10" s="561"/>
      <c r="J10" s="564"/>
      <c r="K10" s="561"/>
      <c r="L10" s="563"/>
      <c r="M10" s="561"/>
      <c r="O10" s="52" t="s">
        <v>143</v>
      </c>
      <c r="P10" s="61">
        <f>参照ﾃﾞｰﾀ!Z8</f>
        <v>46159</v>
      </c>
      <c r="Q10" s="61" t="str">
        <f>参照ﾃﾞｰﾀ!AA8</f>
        <v>初島</v>
      </c>
      <c r="R10" s="527" t="str">
        <f>参照ﾃﾞｰﾀ!AB8</f>
        <v>かまくら</v>
      </c>
      <c r="S10" s="53"/>
      <c r="T10" s="47"/>
    </row>
    <row r="11" spans="2:20" s="2" customFormat="1" ht="18" customHeight="1" x14ac:dyDescent="0.2">
      <c r="B11" s="563"/>
      <c r="C11" s="561"/>
      <c r="D11" s="563"/>
      <c r="E11" s="557"/>
      <c r="F11" s="560"/>
      <c r="G11" s="561"/>
      <c r="H11" s="564"/>
      <c r="I11" s="561"/>
      <c r="J11" s="564"/>
      <c r="K11" s="561"/>
      <c r="L11" s="563"/>
      <c r="M11" s="557"/>
      <c r="O11" s="52" t="s">
        <v>144</v>
      </c>
      <c r="P11" s="61">
        <f>参照ﾃﾞｰﾀ!Z9</f>
        <v>46194</v>
      </c>
      <c r="Q11" s="61" t="str">
        <f>参照ﾃﾞｰﾀ!AA9</f>
        <v>A</v>
      </c>
      <c r="R11" s="527" t="str">
        <f>参照ﾃﾞｰﾀ!AB9</f>
        <v>IDEAL</v>
      </c>
      <c r="S11" s="53"/>
      <c r="T11" s="47"/>
    </row>
    <row r="12" spans="2:20" s="2" customFormat="1" ht="18" customHeight="1" x14ac:dyDescent="0.2">
      <c r="B12" s="563"/>
      <c r="C12" s="561"/>
      <c r="D12" s="563"/>
      <c r="E12" s="557"/>
      <c r="F12" s="560"/>
      <c r="G12" s="557"/>
      <c r="H12" s="564"/>
      <c r="I12" s="561"/>
      <c r="J12" s="563"/>
      <c r="K12" s="561"/>
      <c r="L12" s="563"/>
      <c r="M12" s="561"/>
      <c r="O12" s="52" t="s">
        <v>145</v>
      </c>
      <c r="P12" s="61">
        <f>参照ﾃﾞｰﾀ!Z10</f>
        <v>46222</v>
      </c>
      <c r="Q12" s="61" t="str">
        <f>参照ﾃﾞｰﾀ!AA10</f>
        <v>F</v>
      </c>
      <c r="R12" s="527" t="str">
        <f>参照ﾃﾞｰﾀ!AB10</f>
        <v>SHARK X</v>
      </c>
      <c r="S12" s="53"/>
      <c r="T12" s="47"/>
    </row>
    <row r="13" spans="2:20" s="2" customFormat="1" ht="18" customHeight="1" x14ac:dyDescent="0.2">
      <c r="B13" s="563"/>
      <c r="C13" s="561"/>
      <c r="D13" s="563"/>
      <c r="E13" s="561"/>
      <c r="F13" s="563"/>
      <c r="G13" s="561"/>
      <c r="H13" s="564"/>
      <c r="I13" s="561"/>
      <c r="J13" s="564"/>
      <c r="K13" s="561"/>
      <c r="L13" s="563"/>
      <c r="M13" s="561"/>
      <c r="O13" s="52" t="s">
        <v>146</v>
      </c>
      <c r="P13" s="61">
        <f>参照ﾃﾞｰﾀ!Z11</f>
        <v>46250</v>
      </c>
      <c r="Q13" s="61" t="str">
        <f>参照ﾃﾞｰﾀ!AA11</f>
        <v>H</v>
      </c>
      <c r="R13" s="527" t="str">
        <f>参照ﾃﾞｰﾀ!AB11</f>
        <v>サーモン4</v>
      </c>
      <c r="S13" s="53"/>
      <c r="T13" s="47"/>
    </row>
    <row r="14" spans="2:20" s="2" customFormat="1" ht="18" customHeight="1" x14ac:dyDescent="0.2">
      <c r="B14" s="563"/>
      <c r="C14" s="561"/>
      <c r="D14" s="563"/>
      <c r="E14" s="561"/>
      <c r="F14" s="563"/>
      <c r="G14" s="561"/>
      <c r="H14" s="564"/>
      <c r="I14" s="561"/>
      <c r="J14" s="564"/>
      <c r="K14" s="561"/>
      <c r="L14" s="563"/>
      <c r="M14" s="561"/>
      <c r="O14" s="52" t="s">
        <v>147</v>
      </c>
      <c r="P14" s="61">
        <f>参照ﾃﾞｰﾀ!Z12</f>
        <v>46285</v>
      </c>
      <c r="Q14" s="61" t="str">
        <f>参照ﾃﾞｰﾀ!AA12</f>
        <v>A</v>
      </c>
      <c r="R14" s="527" t="str">
        <f>参照ﾃﾞｰﾀ!AB12</f>
        <v>飛車角</v>
      </c>
      <c r="S14" s="53"/>
      <c r="T14" s="47"/>
    </row>
    <row r="15" spans="2:20" s="2" customFormat="1" ht="18" customHeight="1" x14ac:dyDescent="0.2">
      <c r="B15" s="563"/>
      <c r="C15" s="561"/>
      <c r="D15" s="563"/>
      <c r="E15" s="561"/>
      <c r="F15" s="563"/>
      <c r="G15" s="561"/>
      <c r="H15" s="565"/>
      <c r="I15" s="561"/>
      <c r="J15" s="565"/>
      <c r="K15" s="561"/>
      <c r="L15" s="563"/>
      <c r="M15" s="561"/>
      <c r="O15" s="52" t="s">
        <v>148</v>
      </c>
      <c r="P15" s="61">
        <f>参照ﾃﾞｰﾀ!Z13</f>
        <v>46299</v>
      </c>
      <c r="Q15" s="61" t="str">
        <f>参照ﾃﾞｰﾀ!AA13</f>
        <v>KFRランデブー</v>
      </c>
      <c r="R15" s="527" t="str">
        <f>参照ﾃﾞｰﾀ!AB13</f>
        <v>ー</v>
      </c>
      <c r="S15" s="53"/>
      <c r="T15" s="47"/>
    </row>
    <row r="16" spans="2:20" s="2" customFormat="1" ht="18" customHeight="1" x14ac:dyDescent="0.2">
      <c r="B16" s="566"/>
      <c r="C16" s="567"/>
      <c r="D16" s="566"/>
      <c r="E16" s="567"/>
      <c r="F16" s="563"/>
      <c r="G16" s="561"/>
      <c r="H16" s="568"/>
      <c r="I16" s="567"/>
      <c r="J16" s="568"/>
      <c r="K16" s="567"/>
      <c r="L16" s="566"/>
      <c r="M16" s="567"/>
      <c r="O16" s="52" t="s">
        <v>148</v>
      </c>
      <c r="P16" s="61">
        <f>参照ﾃﾞｰﾀ!Z14</f>
        <v>46313</v>
      </c>
      <c r="Q16" s="61" t="str">
        <f>参照ﾃﾞｰﾀ!AA14</f>
        <v>E</v>
      </c>
      <c r="R16" s="527" t="str">
        <f>参照ﾃﾞｰﾀ!AB14</f>
        <v>テティス</v>
      </c>
      <c r="S16" s="53"/>
      <c r="T16" s="47"/>
    </row>
    <row r="17" spans="2:20" s="2" customFormat="1" ht="18" customHeight="1" x14ac:dyDescent="0.2">
      <c r="B17" s="569"/>
      <c r="C17" s="570"/>
      <c r="D17" s="569"/>
      <c r="E17" s="570"/>
      <c r="F17" s="569"/>
      <c r="G17" s="570"/>
      <c r="H17" s="571"/>
      <c r="I17" s="570"/>
      <c r="J17" s="571"/>
      <c r="K17" s="570"/>
      <c r="L17" s="569"/>
      <c r="M17" s="570"/>
      <c r="O17" s="52" t="s">
        <v>149</v>
      </c>
      <c r="P17" s="61">
        <f>参照ﾃﾞｰﾀ!Z15</f>
        <v>46341</v>
      </c>
      <c r="Q17" s="61" t="str">
        <f>参照ﾃﾞｰﾀ!AA15</f>
        <v>F</v>
      </c>
      <c r="R17" s="527" t="str">
        <f>参照ﾃﾞｰﾀ!AB15</f>
        <v>Miss Emica</v>
      </c>
      <c r="S17" s="53"/>
      <c r="T17" s="47"/>
    </row>
    <row r="18" spans="2:20" s="2" customFormat="1" ht="15" x14ac:dyDescent="0.2">
      <c r="B18" s="3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O18" s="52" t="s">
        <v>150</v>
      </c>
      <c r="P18" s="61">
        <f>参照ﾃﾞｰﾀ!Z16</f>
        <v>46376</v>
      </c>
      <c r="Q18" s="61" t="str">
        <f>参照ﾃﾞｰﾀ!AA16</f>
        <v>E</v>
      </c>
      <c r="R18" s="527" t="str">
        <f>参照ﾃﾞｰﾀ!AB16</f>
        <v>IXORA IV</v>
      </c>
      <c r="S18" s="53"/>
      <c r="T18" s="47"/>
    </row>
    <row r="19" spans="2:20" s="2" customFormat="1" ht="21" customHeight="1" x14ac:dyDescent="0.2">
      <c r="B19" s="41" t="str">
        <f>参照ﾃﾞｰﾀ!Y10</f>
        <v>＃622</v>
      </c>
      <c r="C19" s="25" t="str">
        <f>'7月'!N2</f>
        <v>F</v>
      </c>
      <c r="D19" s="41" t="str">
        <f>参照ﾃﾞｰﾀ!Y11</f>
        <v>＃623</v>
      </c>
      <c r="E19" s="25" t="str">
        <f>'8月'!N2</f>
        <v>H</v>
      </c>
      <c r="F19" s="41" t="str">
        <f>参照ﾃﾞｰﾀ!Y13</f>
        <v>＃625</v>
      </c>
      <c r="G19" s="572" t="str">
        <f>'9月'!N2</f>
        <v>A</v>
      </c>
      <c r="H19" s="41" t="str">
        <f>参照ﾃﾞｰﾀ!Y14</f>
        <v>＃626</v>
      </c>
      <c r="I19" s="25" t="str">
        <f>'10月'!N2</f>
        <v>E</v>
      </c>
      <c r="J19" s="41" t="str">
        <f>参照ﾃﾞｰﾀ!Y15</f>
        <v>＃627</v>
      </c>
      <c r="K19" s="25" t="str">
        <f>'11月'!N2</f>
        <v>F</v>
      </c>
      <c r="L19" s="41" t="str">
        <f>参照ﾃﾞｰﾀ!Y16</f>
        <v>＃628</v>
      </c>
      <c r="M19" s="26" t="str">
        <f>'12月'!N2</f>
        <v>E</v>
      </c>
      <c r="O19" s="56" t="s">
        <v>201</v>
      </c>
      <c r="P19" s="54"/>
      <c r="Q19" s="47"/>
      <c r="R19" s="55"/>
      <c r="S19" s="47"/>
      <c r="T19" s="47"/>
    </row>
    <row r="20" spans="2:20" s="2" customFormat="1" ht="46.5" customHeight="1" x14ac:dyDescent="0.2">
      <c r="B20" s="664">
        <f>参照ﾃﾞｰﾀ!$J10</f>
        <v>46222</v>
      </c>
      <c r="C20" s="665"/>
      <c r="D20" s="664">
        <f>参照ﾃﾞｰﾀ!$J11</f>
        <v>46250</v>
      </c>
      <c r="E20" s="665"/>
      <c r="F20" s="664">
        <f>参照ﾃﾞｰﾀ!$J12</f>
        <v>46285</v>
      </c>
      <c r="G20" s="665"/>
      <c r="H20" s="664">
        <f>参照ﾃﾞｰﾀ!$J14</f>
        <v>46313</v>
      </c>
      <c r="I20" s="665"/>
      <c r="J20" s="664">
        <f>参照ﾃﾞｰﾀ!$J15</f>
        <v>46341</v>
      </c>
      <c r="K20" s="665"/>
      <c r="L20" s="664">
        <f>参照ﾃﾞｰﾀ!$J16</f>
        <v>46376</v>
      </c>
      <c r="M20" s="665"/>
      <c r="O20" s="310" t="s">
        <v>139</v>
      </c>
      <c r="P20" s="311">
        <f>参照ﾃﾞｰﾀ!Z17</f>
        <v>46404</v>
      </c>
      <c r="Q20" s="311" t="str">
        <f>参照ﾃﾞｰﾀ!AA17</f>
        <v>G</v>
      </c>
      <c r="R20" s="312" t="str">
        <f>参照ﾃﾞｰﾀ!AB17</f>
        <v>ケロニア</v>
      </c>
      <c r="S20" s="53"/>
      <c r="T20" s="47"/>
    </row>
    <row r="21" spans="2:20" s="2" customFormat="1" ht="21" customHeight="1" x14ac:dyDescent="0.2">
      <c r="B21" s="27" t="s">
        <v>109</v>
      </c>
      <c r="C21" s="28" t="s">
        <v>69</v>
      </c>
      <c r="D21" s="27" t="s">
        <v>109</v>
      </c>
      <c r="E21" s="28" t="s">
        <v>69</v>
      </c>
      <c r="F21" s="27" t="s">
        <v>109</v>
      </c>
      <c r="G21" s="28" t="s">
        <v>69</v>
      </c>
      <c r="H21" s="27" t="s">
        <v>109</v>
      </c>
      <c r="I21" s="28" t="s">
        <v>69</v>
      </c>
      <c r="J21" s="27" t="s">
        <v>109</v>
      </c>
      <c r="K21" s="28" t="s">
        <v>69</v>
      </c>
      <c r="L21" s="27" t="s">
        <v>109</v>
      </c>
      <c r="M21" s="28" t="s">
        <v>69</v>
      </c>
      <c r="O21" s="54"/>
      <c r="P21" s="56"/>
      <c r="Q21" s="47"/>
      <c r="R21" s="47"/>
      <c r="S21" s="47"/>
      <c r="T21" s="47"/>
    </row>
    <row r="22" spans="2:20" s="2" customFormat="1" ht="18" customHeight="1" x14ac:dyDescent="0.2">
      <c r="B22" s="29"/>
      <c r="C22" s="30"/>
      <c r="D22" s="29"/>
      <c r="E22" s="30"/>
      <c r="F22" s="33"/>
      <c r="G22" s="32"/>
      <c r="H22" s="33"/>
      <c r="I22" s="32"/>
      <c r="J22" s="57"/>
      <c r="K22" s="32"/>
      <c r="L22" s="29"/>
      <c r="M22" s="30"/>
      <c r="O22" s="54"/>
      <c r="P22" s="50"/>
      <c r="Q22" s="47"/>
      <c r="R22" s="47"/>
      <c r="S22" s="47"/>
      <c r="T22" s="47"/>
    </row>
    <row r="23" spans="2:20" s="2" customFormat="1" ht="18" customHeight="1" x14ac:dyDescent="0.2">
      <c r="B23" s="31"/>
      <c r="C23" s="30"/>
      <c r="D23" s="31"/>
      <c r="E23" s="32"/>
      <c r="F23" s="31"/>
      <c r="G23" s="32"/>
      <c r="H23" s="31"/>
      <c r="I23" s="32"/>
      <c r="J23" s="57"/>
      <c r="K23" s="32"/>
      <c r="L23" s="31"/>
      <c r="M23" s="30"/>
      <c r="O23" s="54"/>
      <c r="P23" s="50"/>
      <c r="Q23" s="47"/>
      <c r="R23" s="47"/>
      <c r="S23" s="47"/>
      <c r="T23" s="47"/>
    </row>
    <row r="24" spans="2:20" s="2" customFormat="1" ht="18" customHeight="1" x14ac:dyDescent="0.2">
      <c r="B24" s="33"/>
      <c r="C24" s="32"/>
      <c r="D24" s="33"/>
      <c r="E24" s="32"/>
      <c r="F24" s="33"/>
      <c r="G24" s="32"/>
      <c r="H24" s="33"/>
      <c r="I24" s="32"/>
      <c r="J24" s="57"/>
      <c r="K24" s="32"/>
      <c r="L24" s="33"/>
      <c r="M24" s="30"/>
      <c r="O24" s="54"/>
      <c r="P24" s="50"/>
      <c r="Q24" s="47"/>
      <c r="R24" s="47"/>
      <c r="S24" s="47"/>
      <c r="T24" s="47"/>
    </row>
    <row r="25" spans="2:20" s="2" customFormat="1" ht="18" customHeight="1" x14ac:dyDescent="0.2">
      <c r="B25" s="33"/>
      <c r="C25" s="32"/>
      <c r="D25" s="33"/>
      <c r="E25" s="30"/>
      <c r="F25" s="33"/>
      <c r="G25" s="32"/>
      <c r="H25" s="33"/>
      <c r="I25" s="32" ph="1"/>
      <c r="J25" s="57"/>
      <c r="K25" s="32"/>
      <c r="L25" s="33"/>
      <c r="M25" s="30"/>
      <c r="O25" s="54"/>
      <c r="P25" s="50"/>
      <c r="Q25" s="47"/>
      <c r="R25" s="47"/>
      <c r="S25" s="47"/>
      <c r="T25" s="47"/>
    </row>
    <row r="26" spans="2:20" s="2" customFormat="1" ht="18" customHeight="1" x14ac:dyDescent="0.2">
      <c r="B26" s="33"/>
      <c r="C26" s="32"/>
      <c r="D26" s="33"/>
      <c r="E26" s="32"/>
      <c r="F26" s="33"/>
      <c r="G26" s="32"/>
      <c r="H26" s="33"/>
      <c r="I26" s="32"/>
      <c r="J26" s="57"/>
      <c r="K26" s="32"/>
      <c r="L26" s="33"/>
      <c r="M26" s="30"/>
      <c r="O26" s="54"/>
      <c r="P26" s="50"/>
      <c r="Q26" s="47"/>
      <c r="R26" s="47"/>
      <c r="S26" s="47"/>
      <c r="T26" s="47"/>
    </row>
    <row r="27" spans="2:20" s="2" customFormat="1" ht="18" customHeight="1" x14ac:dyDescent="0.2">
      <c r="B27" s="33"/>
      <c r="C27" s="32"/>
      <c r="D27" s="33"/>
      <c r="E27" s="32"/>
      <c r="F27" s="33"/>
      <c r="G27" s="32"/>
      <c r="H27" s="33"/>
      <c r="I27" s="32"/>
      <c r="J27" s="58"/>
      <c r="K27" s="32"/>
      <c r="L27" s="33"/>
      <c r="M27" s="30"/>
      <c r="O27" s="54"/>
      <c r="P27" s="50"/>
      <c r="Q27" s="47"/>
      <c r="R27" s="47"/>
      <c r="S27" s="47"/>
      <c r="T27" s="47"/>
    </row>
    <row r="28" spans="2:20" s="2" customFormat="1" ht="18" customHeight="1" x14ac:dyDescent="0.2">
      <c r="B28" s="33"/>
      <c r="C28" s="32"/>
      <c r="D28" s="33"/>
      <c r="E28" s="32"/>
      <c r="F28" s="33"/>
      <c r="G28" s="32"/>
      <c r="H28" s="33"/>
      <c r="I28" s="32"/>
      <c r="J28" s="58"/>
      <c r="K28" s="32"/>
      <c r="L28" s="33"/>
      <c r="M28" s="32"/>
      <c r="O28" s="54"/>
      <c r="P28" s="50"/>
      <c r="Q28" s="47"/>
      <c r="R28" s="47"/>
      <c r="S28" s="47"/>
      <c r="T28" s="47"/>
    </row>
    <row r="29" spans="2:20" s="2" customFormat="1" ht="18" customHeight="1" x14ac:dyDescent="0.2">
      <c r="B29" s="33"/>
      <c r="C29" s="32"/>
      <c r="D29" s="33"/>
      <c r="E29" s="32"/>
      <c r="F29" s="33"/>
      <c r="G29" s="32"/>
      <c r="H29" s="33"/>
      <c r="I29" s="32"/>
      <c r="J29" s="58"/>
      <c r="K29" s="32"/>
      <c r="L29" s="33"/>
      <c r="M29" s="32"/>
      <c r="O29" s="54"/>
      <c r="P29" s="50"/>
      <c r="Q29" s="47"/>
      <c r="R29" s="47"/>
      <c r="S29" s="47"/>
      <c r="T29" s="47"/>
    </row>
    <row r="30" spans="2:20" s="2" customFormat="1" ht="18" customHeight="1" x14ac:dyDescent="0.2">
      <c r="B30" s="33"/>
      <c r="C30" s="32"/>
      <c r="D30" s="33"/>
      <c r="E30" s="32"/>
      <c r="F30" s="33"/>
      <c r="G30" s="32"/>
      <c r="H30" s="33"/>
      <c r="I30" s="32"/>
      <c r="J30" s="58"/>
      <c r="K30" s="32"/>
      <c r="L30" s="33"/>
      <c r="M30" s="32"/>
      <c r="O30" s="54"/>
      <c r="P30" s="50"/>
      <c r="Q30" s="47"/>
      <c r="R30" s="47"/>
      <c r="S30" s="47"/>
      <c r="T30" s="47"/>
    </row>
    <row r="31" spans="2:20" s="2" customFormat="1" ht="18" customHeight="1" x14ac:dyDescent="0.2">
      <c r="B31" s="34"/>
      <c r="C31" s="35"/>
      <c r="D31" s="34"/>
      <c r="E31" s="35"/>
      <c r="F31" s="34"/>
      <c r="G31" s="35"/>
      <c r="H31" s="34"/>
      <c r="I31" s="35"/>
      <c r="J31" s="59"/>
      <c r="K31" s="35"/>
      <c r="L31" s="34"/>
      <c r="M31" s="35"/>
      <c r="O31" s="54"/>
      <c r="P31" s="54"/>
      <c r="Q31" s="47"/>
      <c r="R31" s="47"/>
      <c r="S31" s="47"/>
      <c r="T31" s="47"/>
    </row>
    <row r="32" spans="2:20" s="2" customFormat="1" ht="15" x14ac:dyDescent="0.2">
      <c r="B32" s="3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O32" s="50"/>
      <c r="P32" s="50"/>
      <c r="Q32" s="47"/>
      <c r="R32" s="47"/>
      <c r="S32" s="47"/>
      <c r="T32" s="47"/>
    </row>
    <row r="33" spans="2:20" s="2" customFormat="1" ht="18" customHeight="1" x14ac:dyDescent="0.2">
      <c r="B33" s="37"/>
      <c r="C33" s="38"/>
      <c r="D33" s="24"/>
      <c r="E33" s="24"/>
      <c r="F33" s="24"/>
      <c r="G33" s="24"/>
      <c r="H33" s="24"/>
      <c r="I33" s="24"/>
      <c r="J33" s="24"/>
      <c r="K33" s="24"/>
      <c r="L33" s="663" t="s">
        <v>110</v>
      </c>
      <c r="M33" s="663"/>
      <c r="O33" s="50"/>
      <c r="P33" s="50"/>
      <c r="Q33" s="47"/>
      <c r="R33" s="47"/>
      <c r="S33" s="47"/>
      <c r="T33" s="47"/>
    </row>
    <row r="34" spans="2:20" s="2" customFormat="1" ht="15" x14ac:dyDescent="0.2">
      <c r="B34" s="1"/>
      <c r="O34" s="50"/>
      <c r="P34" s="50"/>
      <c r="Q34" s="47"/>
      <c r="R34" s="47"/>
      <c r="S34" s="47"/>
      <c r="T34" s="47"/>
    </row>
  </sheetData>
  <sheetProtection algorithmName="SHA-512" hashValue="DMK3QPk7ofWcd0giN171gKB9qYKaIylwbEM4iwsEwUNNJ7eUf3gmv3Uek+PJ7c4jTOg2Da6U+WHLO0O4MaJ/Fw==" saltValue="il36ERr3Qx1UALUnJA7BPw==" spinCount="100000" sheet="1" objects="1" scenarios="1"/>
  <mergeCells count="19">
    <mergeCell ref="L33:M33"/>
    <mergeCell ref="B20:C20"/>
    <mergeCell ref="D20:E20"/>
    <mergeCell ref="F20:G20"/>
    <mergeCell ref="H20:I20"/>
    <mergeCell ref="J20:K20"/>
    <mergeCell ref="L20:M20"/>
    <mergeCell ref="H5:I5"/>
    <mergeCell ref="J5:K5"/>
    <mergeCell ref="L5:M5"/>
    <mergeCell ref="O1:S1"/>
    <mergeCell ref="O5:P5"/>
    <mergeCell ref="B1:L1"/>
    <mergeCell ref="B2:M2"/>
    <mergeCell ref="B3:K3"/>
    <mergeCell ref="L3:M3"/>
    <mergeCell ref="B5:C5"/>
    <mergeCell ref="D5:E5"/>
    <mergeCell ref="F5:G5"/>
  </mergeCells>
  <phoneticPr fontId="5"/>
  <dataValidations count="1">
    <dataValidation type="list" allowBlank="1" showInputMessage="1" showErrorMessage="1" sqref="C4 E4 G4 I4 K4 M4 K19 E19 G19 M19 C19" xr:uid="{00000000-0002-0000-0700-000000000000}">
      <formula1>コース</formula1>
    </dataValidation>
  </dataValidations>
  <pageMargins left="0.31496062992125984" right="0.31496062992125984" top="0.74803149606299213" bottom="0.74803149606299213" header="0.31496062992125984" footer="0.31496062992125984"/>
  <pageSetup paperSize="9" scale="97" fitToHeight="0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参照ﾃﾞｰﾀ!$B$4:$B$17</xm:f>
          </x14:formula1>
          <xm:sqref>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45"/>
  <sheetViews>
    <sheetView topLeftCell="O6" zoomScaleNormal="100" workbookViewId="0">
      <selection activeCell="AB20" sqref="AB20:AB34"/>
    </sheetView>
  </sheetViews>
  <sheetFormatPr defaultRowHeight="13" x14ac:dyDescent="0.2"/>
  <cols>
    <col min="1" max="1" width="2.7265625" customWidth="1"/>
    <col min="4" max="4" width="9.08984375" bestFit="1" customWidth="1"/>
    <col min="5" max="5" width="3" customWidth="1"/>
    <col min="6" max="6" width="9" customWidth="1"/>
    <col min="7" max="7" width="3.08984375" customWidth="1"/>
    <col min="8" max="8" width="5.90625" customWidth="1"/>
    <col min="9" max="9" width="3.26953125" customWidth="1"/>
    <col min="10" max="10" width="11.36328125" bestFit="1" customWidth="1"/>
    <col min="11" max="11" width="10.453125" style="18" customWidth="1"/>
    <col min="12" max="12" width="3.08984375" customWidth="1"/>
    <col min="13" max="13" width="11.08984375" customWidth="1"/>
    <col min="14" max="14" width="3" customWidth="1"/>
    <col min="15" max="15" width="17.453125" customWidth="1"/>
    <col min="16" max="16" width="2.453125" customWidth="1"/>
    <col min="18" max="18" width="2.6328125" customWidth="1"/>
    <col min="19" max="19" width="6.90625" customWidth="1"/>
    <col min="20" max="20" width="2.6328125" customWidth="1"/>
    <col min="22" max="22" width="2.90625" customWidth="1"/>
    <col min="26" max="26" width="12.7265625" bestFit="1" customWidth="1"/>
    <col min="28" max="28" width="14" bestFit="1" customWidth="1"/>
    <col min="29" max="30" width="8.7265625" hidden="1" customWidth="1"/>
  </cols>
  <sheetData>
    <row r="1" spans="2:33" ht="16.5" x14ac:dyDescent="0.2">
      <c r="B1" s="313" t="s">
        <v>54</v>
      </c>
      <c r="C1" s="314"/>
      <c r="D1" s="314"/>
      <c r="E1" s="314"/>
      <c r="F1" s="315" t="s">
        <v>39</v>
      </c>
      <c r="G1" s="315"/>
      <c r="H1" s="315" t="s">
        <v>41</v>
      </c>
      <c r="I1" s="315"/>
      <c r="J1" s="315" t="s">
        <v>63</v>
      </c>
      <c r="K1" s="316"/>
      <c r="L1" s="315"/>
      <c r="M1" s="315" t="s">
        <v>37</v>
      </c>
      <c r="N1" s="315"/>
      <c r="O1" s="316" t="s">
        <v>44</v>
      </c>
      <c r="P1" s="315"/>
      <c r="Q1" s="315" t="s">
        <v>38</v>
      </c>
      <c r="R1" s="315"/>
      <c r="S1" s="316" t="s">
        <v>46</v>
      </c>
      <c r="T1" s="315"/>
      <c r="U1" s="315" t="s">
        <v>53</v>
      </c>
      <c r="W1" s="315" t="s">
        <v>58</v>
      </c>
    </row>
    <row r="2" spans="2:33" ht="13.5" thickBot="1" x14ac:dyDescent="0.25">
      <c r="B2" t="s">
        <v>287</v>
      </c>
      <c r="F2" s="21"/>
      <c r="J2" s="18" t="s">
        <v>253</v>
      </c>
      <c r="L2" t="s">
        <v>285</v>
      </c>
      <c r="Y2" t="str">
        <f>J2</f>
        <v>2026年</v>
      </c>
    </row>
    <row r="3" spans="2:33" ht="15.5" x14ac:dyDescent="0.25">
      <c r="B3" s="3" t="s">
        <v>33</v>
      </c>
      <c r="C3" s="20" t="s">
        <v>64</v>
      </c>
      <c r="D3" s="16" t="s">
        <v>58</v>
      </c>
      <c r="E3" s="9"/>
      <c r="F3" s="14" t="s">
        <v>40</v>
      </c>
      <c r="G3" s="9"/>
      <c r="H3" s="8" t="s">
        <v>34</v>
      </c>
      <c r="J3" s="494" t="s">
        <v>63</v>
      </c>
      <c r="K3" s="504" t="s">
        <v>58</v>
      </c>
      <c r="M3" s="496" t="s">
        <v>42</v>
      </c>
      <c r="O3" s="494" t="s">
        <v>44</v>
      </c>
      <c r="Q3" s="499" t="s">
        <v>36</v>
      </c>
      <c r="S3" s="494" t="s">
        <v>47</v>
      </c>
      <c r="U3" s="503" t="s">
        <v>53</v>
      </c>
      <c r="W3" s="525" t="s">
        <v>13</v>
      </c>
      <c r="Y3" s="42" t="s">
        <v>118</v>
      </c>
      <c r="Z3" s="43" t="s">
        <v>119</v>
      </c>
      <c r="AA3" s="512" t="s">
        <v>66</v>
      </c>
      <c r="AB3" s="528" t="s">
        <v>111</v>
      </c>
      <c r="AC3" s="43" t="s">
        <v>112</v>
      </c>
      <c r="AD3" s="43" t="s">
        <v>120</v>
      </c>
      <c r="AE3" s="60" t="s">
        <v>121</v>
      </c>
      <c r="AF3" s="484" t="s">
        <v>188</v>
      </c>
      <c r="AG3" s="505" t="s">
        <v>284</v>
      </c>
    </row>
    <row r="4" spans="2:33" ht="16" thickBot="1" x14ac:dyDescent="0.3">
      <c r="B4" s="4" t="s">
        <v>283</v>
      </c>
      <c r="C4" s="15">
        <v>24.2</v>
      </c>
      <c r="D4" s="5" t="s">
        <v>60</v>
      </c>
      <c r="F4" s="19" t="s">
        <v>253</v>
      </c>
      <c r="H4" s="7" t="s">
        <v>139</v>
      </c>
      <c r="J4" s="506">
        <v>46040</v>
      </c>
      <c r="K4" s="507" t="str">
        <f t="shared" ref="K4:K12" si="0">VLOOKUP(AA4,B$4:D$15,3,FALSE)</f>
        <v>MAX=15</v>
      </c>
      <c r="M4" s="510" t="s">
        <v>234</v>
      </c>
      <c r="O4" s="497" t="s">
        <v>45</v>
      </c>
      <c r="Q4" s="500" t="s">
        <v>65</v>
      </c>
      <c r="S4" s="501" t="s">
        <v>48</v>
      </c>
      <c r="U4" s="523">
        <v>0.33333333333333331</v>
      </c>
      <c r="W4" s="510" t="s">
        <v>59</v>
      </c>
      <c r="Y4" s="485" t="str">
        <f>M4</f>
        <v>＃616</v>
      </c>
      <c r="Z4" s="533">
        <f>J4</f>
        <v>46040</v>
      </c>
      <c r="AA4" s="534" t="s">
        <v>200</v>
      </c>
      <c r="AB4" s="535" t="s">
        <v>126</v>
      </c>
      <c r="AC4" s="536"/>
      <c r="AD4" s="537"/>
      <c r="AE4" s="538">
        <v>0.39583333333333331</v>
      </c>
      <c r="AF4" s="486">
        <v>0.5</v>
      </c>
    </row>
    <row r="5" spans="2:33" ht="16" thickBot="1" x14ac:dyDescent="0.25">
      <c r="B5" s="4" t="s">
        <v>230</v>
      </c>
      <c r="C5" s="15">
        <v>21.5</v>
      </c>
      <c r="D5" s="5" t="s">
        <v>60</v>
      </c>
      <c r="H5" s="7" t="s">
        <v>156</v>
      </c>
      <c r="J5" s="506">
        <v>46068</v>
      </c>
      <c r="K5" s="507" t="str">
        <f t="shared" si="0"/>
        <v>MAX=20</v>
      </c>
      <c r="M5" s="510" t="s">
        <v>235</v>
      </c>
      <c r="O5" s="497" t="s">
        <v>194</v>
      </c>
      <c r="Q5" s="6"/>
      <c r="S5" s="501" t="s">
        <v>49</v>
      </c>
      <c r="U5" s="523">
        <v>0.35416666666666669</v>
      </c>
      <c r="W5" s="510" t="s">
        <v>60</v>
      </c>
      <c r="Y5" s="485" t="str">
        <f t="shared" ref="Y5:Y16" si="1">M5</f>
        <v>＃617</v>
      </c>
      <c r="Z5" s="533">
        <f t="shared" ref="Z5:Z16" si="2">J5</f>
        <v>46068</v>
      </c>
      <c r="AA5" s="539" t="s">
        <v>168</v>
      </c>
      <c r="AB5" s="535" t="s">
        <v>25</v>
      </c>
      <c r="AC5" s="536"/>
      <c r="AD5" s="537"/>
      <c r="AE5" s="538">
        <v>0.4375</v>
      </c>
      <c r="AF5" s="486">
        <v>0.625</v>
      </c>
    </row>
    <row r="6" spans="2:33" ht="16" thickBot="1" x14ac:dyDescent="0.25">
      <c r="B6" s="4" t="s">
        <v>168</v>
      </c>
      <c r="C6" s="15">
        <v>11.3</v>
      </c>
      <c r="D6" s="5" t="s">
        <v>59</v>
      </c>
      <c r="H6" s="7" t="s">
        <v>157</v>
      </c>
      <c r="J6" s="506">
        <v>46096</v>
      </c>
      <c r="K6" s="507" t="str">
        <f t="shared" si="0"/>
        <v>MAX=25</v>
      </c>
      <c r="L6">
        <v>20</v>
      </c>
      <c r="M6" s="510" t="s">
        <v>268</v>
      </c>
      <c r="O6" s="498" t="s">
        <v>237</v>
      </c>
      <c r="S6" s="501" t="s">
        <v>50</v>
      </c>
      <c r="U6" s="523">
        <v>0.375</v>
      </c>
      <c r="W6" s="510" t="s">
        <v>62</v>
      </c>
      <c r="Y6" s="485" t="str">
        <f t="shared" si="1"/>
        <v>＃618</v>
      </c>
      <c r="Z6" s="533">
        <f t="shared" si="2"/>
        <v>46096</v>
      </c>
      <c r="AA6" s="534" t="s">
        <v>202</v>
      </c>
      <c r="AB6" s="535" t="s">
        <v>23</v>
      </c>
      <c r="AC6" s="536"/>
      <c r="AD6" s="537"/>
      <c r="AE6" s="538">
        <v>0.4375</v>
      </c>
      <c r="AF6" s="486">
        <v>0.625</v>
      </c>
      <c r="AG6" t="s">
        <v>168</v>
      </c>
    </row>
    <row r="7" spans="2:33" ht="16" thickBot="1" x14ac:dyDescent="0.25">
      <c r="B7" s="4" t="s">
        <v>202</v>
      </c>
      <c r="C7" s="15">
        <v>15.4</v>
      </c>
      <c r="D7" s="5" t="s">
        <v>205</v>
      </c>
      <c r="H7" s="7" t="s">
        <v>158</v>
      </c>
      <c r="J7" s="506">
        <v>46131</v>
      </c>
      <c r="K7" s="507" t="str">
        <f t="shared" si="0"/>
        <v>MAX=20</v>
      </c>
      <c r="M7" s="510" t="s">
        <v>269</v>
      </c>
      <c r="S7" s="502" t="s">
        <v>266</v>
      </c>
      <c r="U7" s="523">
        <v>0.39583333333333331</v>
      </c>
      <c r="W7" s="510" t="s">
        <v>205</v>
      </c>
      <c r="Y7" s="485" t="str">
        <f t="shared" si="1"/>
        <v>＃619</v>
      </c>
      <c r="Z7" s="533">
        <f t="shared" si="2"/>
        <v>46131</v>
      </c>
      <c r="AA7" s="534" t="s">
        <v>168</v>
      </c>
      <c r="AB7" s="535" t="s">
        <v>312</v>
      </c>
      <c r="AC7" s="536"/>
      <c r="AD7" s="537"/>
      <c r="AE7" s="538">
        <v>0.4375</v>
      </c>
      <c r="AF7" s="486">
        <v>0.625</v>
      </c>
    </row>
    <row r="8" spans="2:33" ht="16" thickBot="1" x14ac:dyDescent="0.25">
      <c r="B8" s="4" t="s">
        <v>186</v>
      </c>
      <c r="C8" s="495">
        <v>6</v>
      </c>
      <c r="D8" s="5" t="s">
        <v>206</v>
      </c>
      <c r="H8" s="7" t="s">
        <v>159</v>
      </c>
      <c r="J8" s="506">
        <v>46159</v>
      </c>
      <c r="K8" s="507" t="str">
        <f t="shared" si="0"/>
        <v>MAX=40</v>
      </c>
      <c r="L8">
        <v>20</v>
      </c>
      <c r="M8" s="510" t="s">
        <v>270</v>
      </c>
      <c r="U8" s="523">
        <v>0.41666666666666669</v>
      </c>
      <c r="W8" s="511" t="s">
        <v>206</v>
      </c>
      <c r="Y8" s="485" t="str">
        <f t="shared" si="1"/>
        <v>＃620</v>
      </c>
      <c r="Z8" s="533">
        <f t="shared" si="2"/>
        <v>46159</v>
      </c>
      <c r="AA8" s="534" t="s">
        <v>187</v>
      </c>
      <c r="AB8" s="535" t="s">
        <v>26</v>
      </c>
      <c r="AC8" s="536"/>
      <c r="AD8" s="537"/>
      <c r="AE8" s="538">
        <v>0</v>
      </c>
      <c r="AF8" s="487">
        <v>0.625</v>
      </c>
      <c r="AG8" t="s">
        <v>286</v>
      </c>
    </row>
    <row r="9" spans="2:33" ht="15.5" x14ac:dyDescent="0.2">
      <c r="B9" s="4" t="s">
        <v>184</v>
      </c>
      <c r="C9" s="15">
        <v>23.8</v>
      </c>
      <c r="D9" s="5" t="s">
        <v>60</v>
      </c>
      <c r="H9" s="7" t="s">
        <v>160</v>
      </c>
      <c r="J9" s="506">
        <v>46194</v>
      </c>
      <c r="K9" s="507" t="str">
        <f t="shared" si="0"/>
        <v>MAX=30</v>
      </c>
      <c r="L9">
        <v>25</v>
      </c>
      <c r="M9" s="510" t="s">
        <v>271</v>
      </c>
      <c r="U9" s="523">
        <v>0.4375</v>
      </c>
      <c r="Y9" s="485" t="str">
        <f t="shared" si="1"/>
        <v>＃621</v>
      </c>
      <c r="Z9" s="533">
        <f t="shared" si="2"/>
        <v>46194</v>
      </c>
      <c r="AA9" s="534" t="s">
        <v>283</v>
      </c>
      <c r="AB9" s="535" t="s">
        <v>313</v>
      </c>
      <c r="AC9" s="536"/>
      <c r="AD9" s="537"/>
      <c r="AE9" s="538">
        <v>0.4375</v>
      </c>
      <c r="AF9" s="486">
        <v>0.66666666666666663</v>
      </c>
      <c r="AG9" t="s">
        <v>288</v>
      </c>
    </row>
    <row r="10" spans="2:33" ht="15.5" x14ac:dyDescent="0.2">
      <c r="B10" s="4" t="s">
        <v>185</v>
      </c>
      <c r="C10" s="15">
        <v>17.3</v>
      </c>
      <c r="D10" s="5" t="s">
        <v>205</v>
      </c>
      <c r="H10" s="7" t="s">
        <v>161</v>
      </c>
      <c r="J10" s="506">
        <v>46222</v>
      </c>
      <c r="K10" s="507" t="str">
        <f t="shared" si="0"/>
        <v>MAX=25</v>
      </c>
      <c r="L10">
        <v>20</v>
      </c>
      <c r="M10" s="510" t="s">
        <v>272</v>
      </c>
      <c r="U10" s="523">
        <v>0.4513888888888889</v>
      </c>
      <c r="Y10" s="485" t="str">
        <f t="shared" si="1"/>
        <v>＃622</v>
      </c>
      <c r="Z10" s="533">
        <f>J10</f>
        <v>46222</v>
      </c>
      <c r="AA10" s="534" t="s">
        <v>202</v>
      </c>
      <c r="AB10" s="535" t="s">
        <v>174</v>
      </c>
      <c r="AC10" s="536"/>
      <c r="AD10" s="537"/>
      <c r="AE10" s="538">
        <v>0.4375</v>
      </c>
      <c r="AF10" s="486">
        <v>0.66666666666666663</v>
      </c>
      <c r="AG10" t="s">
        <v>168</v>
      </c>
    </row>
    <row r="11" spans="2:33" ht="15.5" x14ac:dyDescent="0.25">
      <c r="B11" s="12" t="s">
        <v>32</v>
      </c>
      <c r="C11" s="15">
        <v>47.4</v>
      </c>
      <c r="D11" s="5" t="s">
        <v>61</v>
      </c>
      <c r="H11" s="7" t="s">
        <v>162</v>
      </c>
      <c r="J11" s="506">
        <v>46250</v>
      </c>
      <c r="K11" s="507" t="str">
        <f t="shared" si="0"/>
        <v>MAX=30</v>
      </c>
      <c r="L11">
        <v>25</v>
      </c>
      <c r="M11" s="510" t="s">
        <v>273</v>
      </c>
      <c r="U11" s="523">
        <v>0.47916666666666669</v>
      </c>
      <c r="Y11" s="485" t="str">
        <f t="shared" si="1"/>
        <v>＃623</v>
      </c>
      <c r="Z11" s="533">
        <f t="shared" si="2"/>
        <v>46250</v>
      </c>
      <c r="AA11" s="534" t="s">
        <v>184</v>
      </c>
      <c r="AB11" s="535" t="s">
        <v>314</v>
      </c>
      <c r="AC11" s="536"/>
      <c r="AD11" s="537"/>
      <c r="AE11" s="538">
        <v>0.4375</v>
      </c>
      <c r="AF11" s="486">
        <v>0.66666666666666663</v>
      </c>
      <c r="AG11" t="s">
        <v>288</v>
      </c>
    </row>
    <row r="12" spans="2:33" ht="15.5" x14ac:dyDescent="0.25">
      <c r="B12" s="12" t="s">
        <v>43</v>
      </c>
      <c r="C12" s="15">
        <v>26.6</v>
      </c>
      <c r="D12" s="5"/>
      <c r="H12" s="7" t="s">
        <v>163</v>
      </c>
      <c r="J12" s="506">
        <v>46285</v>
      </c>
      <c r="K12" s="507" t="str">
        <f t="shared" si="0"/>
        <v>MAX=30</v>
      </c>
      <c r="L12">
        <v>25</v>
      </c>
      <c r="M12" s="510" t="s">
        <v>274</v>
      </c>
      <c r="U12" s="523">
        <v>0</v>
      </c>
      <c r="Y12" s="485" t="str">
        <f t="shared" si="1"/>
        <v>＃624</v>
      </c>
      <c r="Z12" s="533">
        <f t="shared" si="2"/>
        <v>46285</v>
      </c>
      <c r="AA12" s="534" t="s">
        <v>283</v>
      </c>
      <c r="AB12" s="535" t="s">
        <v>233</v>
      </c>
      <c r="AC12" s="536"/>
      <c r="AD12" s="537"/>
      <c r="AE12" s="538">
        <v>0.4375</v>
      </c>
      <c r="AF12" s="486">
        <v>0.66666666666666663</v>
      </c>
      <c r="AG12" t="s">
        <v>288</v>
      </c>
    </row>
    <row r="13" spans="2:33" ht="16" thickBot="1" x14ac:dyDescent="0.25">
      <c r="B13" s="4" t="s">
        <v>200</v>
      </c>
      <c r="C13" s="15">
        <v>4.8</v>
      </c>
      <c r="D13" s="5" t="s">
        <v>206</v>
      </c>
      <c r="H13" s="521" t="s">
        <v>164</v>
      </c>
      <c r="J13" s="506">
        <v>46299</v>
      </c>
      <c r="K13" s="522" t="e">
        <f>VLOOKUP(AA13,B$4:D$15,3,FALSE)</f>
        <v>#N/A</v>
      </c>
      <c r="M13" s="510" t="s">
        <v>275</v>
      </c>
      <c r="U13" s="524">
        <v>0.38194444444444442</v>
      </c>
      <c r="Y13" s="485" t="str">
        <f t="shared" si="1"/>
        <v>＃625</v>
      </c>
      <c r="Z13" s="533">
        <f t="shared" si="2"/>
        <v>46299</v>
      </c>
      <c r="AA13" s="540" t="s">
        <v>195</v>
      </c>
      <c r="AB13" s="535" t="s">
        <v>315</v>
      </c>
      <c r="AC13" s="541" t="s">
        <v>209</v>
      </c>
      <c r="AD13" s="541" t="s">
        <v>209</v>
      </c>
      <c r="AE13" s="538">
        <v>0.4375</v>
      </c>
      <c r="AF13" s="486">
        <v>0.66666666666666663</v>
      </c>
    </row>
    <row r="14" spans="2:33" ht="15.5" x14ac:dyDescent="0.2">
      <c r="B14" s="4" t="s">
        <v>203</v>
      </c>
      <c r="C14" s="15">
        <v>8.6</v>
      </c>
      <c r="D14" s="5" t="s">
        <v>206</v>
      </c>
      <c r="H14" s="7" t="s">
        <v>164</v>
      </c>
      <c r="J14" s="506">
        <v>46313</v>
      </c>
      <c r="K14" s="507" t="str">
        <f t="shared" ref="K14:K17" si="3">VLOOKUP(AA14,B$4:D$15,3,FALSE)</f>
        <v>MAX=20</v>
      </c>
      <c r="M14" s="510" t="s">
        <v>276</v>
      </c>
      <c r="Y14" s="485" t="str">
        <f t="shared" si="1"/>
        <v>＃626</v>
      </c>
      <c r="Z14" s="533">
        <f t="shared" si="2"/>
        <v>46313</v>
      </c>
      <c r="AA14" s="534" t="s">
        <v>168</v>
      </c>
      <c r="AB14" s="535" t="s">
        <v>126</v>
      </c>
      <c r="AC14" s="536"/>
      <c r="AD14" s="537"/>
      <c r="AE14" s="538">
        <v>0.4375</v>
      </c>
      <c r="AF14" s="486">
        <v>0.625</v>
      </c>
    </row>
    <row r="15" spans="2:33" ht="15.5" x14ac:dyDescent="0.2">
      <c r="B15" s="4" t="s">
        <v>196</v>
      </c>
      <c r="C15" s="15">
        <v>10</v>
      </c>
      <c r="D15" s="5" t="s">
        <v>59</v>
      </c>
      <c r="H15" s="7" t="s">
        <v>165</v>
      </c>
      <c r="J15" s="506">
        <v>46341</v>
      </c>
      <c r="K15" s="507" t="str">
        <f t="shared" si="3"/>
        <v>MAX=25</v>
      </c>
      <c r="L15">
        <v>20</v>
      </c>
      <c r="M15" s="510" t="s">
        <v>277</v>
      </c>
      <c r="Y15" s="485" t="str">
        <f t="shared" si="1"/>
        <v>＃627</v>
      </c>
      <c r="Z15" s="533">
        <f t="shared" si="2"/>
        <v>46341</v>
      </c>
      <c r="AA15" s="534" t="s">
        <v>202</v>
      </c>
      <c r="AB15" s="535" t="s">
        <v>232</v>
      </c>
      <c r="AC15" s="536"/>
      <c r="AD15" s="537"/>
      <c r="AE15" s="538">
        <v>0.4375</v>
      </c>
      <c r="AF15" s="486">
        <v>0.625</v>
      </c>
      <c r="AG15" t="s">
        <v>168</v>
      </c>
    </row>
    <row r="16" spans="2:33" ht="16" thickBot="1" x14ac:dyDescent="0.25">
      <c r="B16" s="4"/>
      <c r="C16" s="15"/>
      <c r="D16" s="5"/>
      <c r="H16" s="7" t="s">
        <v>166</v>
      </c>
      <c r="J16" s="506">
        <v>46376</v>
      </c>
      <c r="K16" s="507" t="str">
        <f t="shared" si="3"/>
        <v>MAX=20</v>
      </c>
      <c r="M16" s="510" t="s">
        <v>278</v>
      </c>
      <c r="Y16" s="44" t="str">
        <f t="shared" si="1"/>
        <v>＃628</v>
      </c>
      <c r="Z16" s="488">
        <f t="shared" si="2"/>
        <v>46376</v>
      </c>
      <c r="AA16" s="513" t="s">
        <v>168</v>
      </c>
      <c r="AB16" s="529" t="s">
        <v>316</v>
      </c>
      <c r="AC16" s="489"/>
      <c r="AD16" s="490"/>
      <c r="AE16" s="491">
        <v>0.4375</v>
      </c>
      <c r="AF16" s="492">
        <v>0.625</v>
      </c>
    </row>
    <row r="17" spans="2:32" ht="16" thickBot="1" x14ac:dyDescent="0.25">
      <c r="B17" s="11"/>
      <c r="C17" s="17"/>
      <c r="D17" s="10"/>
      <c r="H17" s="13" t="s">
        <v>204</v>
      </c>
      <c r="J17" s="508">
        <v>46404</v>
      </c>
      <c r="K17" s="509" t="str">
        <f t="shared" si="3"/>
        <v>MAX=15</v>
      </c>
      <c r="M17" s="511" t="s">
        <v>279</v>
      </c>
      <c r="Y17" s="479" t="str">
        <f t="shared" ref="Y17" si="4">M17</f>
        <v>＃629</v>
      </c>
      <c r="Z17" s="480">
        <f>J17</f>
        <v>46404</v>
      </c>
      <c r="AA17" s="514" t="s">
        <v>200</v>
      </c>
      <c r="AB17" s="530" t="s">
        <v>122</v>
      </c>
      <c r="AC17" s="481"/>
      <c r="AD17" s="482"/>
      <c r="AE17" s="483">
        <v>0.39583333333333331</v>
      </c>
      <c r="AF17" s="493">
        <v>0.5</v>
      </c>
    </row>
    <row r="18" spans="2:32" x14ac:dyDescent="0.2">
      <c r="M18" s="23"/>
      <c r="Y18" s="39"/>
      <c r="Z18" s="40" t="s">
        <v>123</v>
      </c>
      <c r="AA18" s="39" t="s">
        <v>124</v>
      </c>
      <c r="AB18" s="39"/>
      <c r="AC18" s="39"/>
      <c r="AD18" s="39"/>
      <c r="AE18" s="39"/>
    </row>
    <row r="19" spans="2:32" x14ac:dyDescent="0.2">
      <c r="K19" s="531" t="s">
        <v>290</v>
      </c>
      <c r="M19" s="23"/>
    </row>
    <row r="20" spans="2:32" x14ac:dyDescent="0.2">
      <c r="M20" s="23"/>
    </row>
    <row r="21" spans="2:32" x14ac:dyDescent="0.2">
      <c r="M21" s="23"/>
    </row>
    <row r="22" spans="2:32" x14ac:dyDescent="0.2">
      <c r="M22" s="23"/>
    </row>
    <row r="23" spans="2:32" x14ac:dyDescent="0.2">
      <c r="M23" s="23"/>
    </row>
    <row r="24" spans="2:32" x14ac:dyDescent="0.2">
      <c r="M24" s="23"/>
    </row>
    <row r="25" spans="2:32" x14ac:dyDescent="0.2">
      <c r="M25" s="23"/>
    </row>
    <row r="26" spans="2:32" x14ac:dyDescent="0.2">
      <c r="M26" s="23"/>
    </row>
    <row r="27" spans="2:32" x14ac:dyDescent="0.2">
      <c r="M27" s="23"/>
    </row>
    <row r="45" spans="6:6" x14ac:dyDescent="0.2">
      <c r="F45" t="s">
        <v>176</v>
      </c>
    </row>
  </sheetData>
  <sheetProtection algorithmName="SHA-512" hashValue="aVOM9Z5XhbLUUsntzWW+2ClUnPFJpKhaCrRx4j/5Zws1iWVqIAZvtQUzxInnEVnBuaeRMfveh+0OeROI9CBimA==" saltValue="6T9RF3PJATFT9qfRlUhmyw==" spinCount="100000" sheet="1" objects="1" scenarios="1"/>
  <phoneticPr fontId="5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27</vt:i4>
      </vt:variant>
    </vt:vector>
  </HeadingPairs>
  <TitlesOfParts>
    <vt:vector size="38" baseType="lpstr">
      <vt:lpstr>7月</vt:lpstr>
      <vt:lpstr>8月</vt:lpstr>
      <vt:lpstr>9月</vt:lpstr>
      <vt:lpstr>10月</vt:lpstr>
      <vt:lpstr>11月</vt:lpstr>
      <vt:lpstr>12月</vt:lpstr>
      <vt:lpstr>得点計</vt:lpstr>
      <vt:lpstr>ｺﾐｯﾃｨｰ</vt:lpstr>
      <vt:lpstr>参照ﾃﾞｰﾀ</vt:lpstr>
      <vt:lpstr>参照ＴＡ</vt:lpstr>
      <vt:lpstr>9月 (KFRランデブー)</vt:lpstr>
      <vt:lpstr>'10月'!Print_Area</vt:lpstr>
      <vt:lpstr>'11月'!Print_Area</vt:lpstr>
      <vt:lpstr>'12月'!Print_Area</vt:lpstr>
      <vt:lpstr>'7月'!Print_Area</vt:lpstr>
      <vt:lpstr>'8月'!Print_Area</vt:lpstr>
      <vt:lpstr>'9月'!Print_Area</vt:lpstr>
      <vt:lpstr>'9月 (KFRランデブー)'!Print_Area</vt:lpstr>
      <vt:lpstr>ｺﾐｯﾃｨｰ!Print_Area</vt:lpstr>
      <vt:lpstr>得点計!Print_Area</vt:lpstr>
      <vt:lpstr>ＴＡ</vt:lpstr>
      <vt:lpstr>コース</vt:lpstr>
      <vt:lpstr>コース・距離</vt:lpstr>
      <vt:lpstr>ランデブーレースＴＡ</vt:lpstr>
      <vt:lpstr>レース番号</vt:lpstr>
      <vt:lpstr>レース名</vt:lpstr>
      <vt:lpstr>開催日</vt:lpstr>
      <vt:lpstr>月</vt:lpstr>
      <vt:lpstr>暫定</vt:lpstr>
      <vt:lpstr>時刻</vt:lpstr>
      <vt:lpstr>第1月ＴＡ</vt:lpstr>
      <vt:lpstr>第2月ＴＡ</vt:lpstr>
      <vt:lpstr>第3月ＴＡ</vt:lpstr>
      <vt:lpstr>第4月ＴＡ</vt:lpstr>
      <vt:lpstr>第5月ＴＡ</vt:lpstr>
      <vt:lpstr>第6月ＴＡ</vt:lpstr>
      <vt:lpstr>得点</vt:lpstr>
      <vt:lpstr>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小網代ヨットクラブ KFRレース委員会</dc:creator>
  <cp:lastModifiedBy>眞由彦 原</cp:lastModifiedBy>
  <cp:lastPrinted>2025-04-10T07:49:35Z</cp:lastPrinted>
  <dcterms:created xsi:type="dcterms:W3CDTF">2015-05-21T03:15:11Z</dcterms:created>
  <dcterms:modified xsi:type="dcterms:W3CDTF">2026-02-05T01:17:46Z</dcterms:modified>
</cp:coreProperties>
</file>