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docs.live.net/871894e3c1a01ec5/デスクトップ/KFRレース/"/>
    </mc:Choice>
  </mc:AlternateContent>
  <xr:revisionPtr revIDLastSave="164" documentId="8_{36BE25CD-1079-469E-8657-4ED7B7E452CD}" xr6:coauthVersionLast="47" xr6:coauthVersionMax="47" xr10:uidLastSave="{A0AEFDF3-1236-4DBD-B5AF-9ED8248C89F3}"/>
  <bookViews>
    <workbookView xWindow="760" yWindow="530" windowWidth="17700" windowHeight="14340" tabRatio="632" firstSheet="1" activeTab="9" xr2:uid="{00000000-000D-0000-FFFF-FFFF00000000}"/>
  </bookViews>
  <sheets>
    <sheet name="1月" sheetId="27" r:id="rId1"/>
    <sheet name="2月" sheetId="30" r:id="rId2"/>
    <sheet name="3月" sheetId="32" r:id="rId3"/>
    <sheet name="4月" sheetId="33" r:id="rId4"/>
    <sheet name="5月" sheetId="35" r:id="rId5"/>
    <sheet name="6月" sheetId="36" r:id="rId6"/>
    <sheet name="得点計" sheetId="19" r:id="rId7"/>
    <sheet name="ｺﾐｯﾃｨｰ" sheetId="20" r:id="rId8"/>
    <sheet name="参照ﾃﾞｰﾀ" sheetId="2" r:id="rId9"/>
    <sheet name="参照ＴＡ" sheetId="37" r:id="rId10"/>
    <sheet name="TA26.1.13" sheetId="39" r:id="rId11"/>
  </sheets>
  <definedNames>
    <definedName name="_xlnm._FilterDatabase" localSheetId="0" hidden="1">'1月'!$C$7:$K$20</definedName>
    <definedName name="_xlnm._FilterDatabase" localSheetId="1" hidden="1">'2月'!$C$7:$K$20</definedName>
    <definedName name="_xlnm._FilterDatabase" localSheetId="2" hidden="1">'3月'!$C$7:$K$20</definedName>
    <definedName name="_xlnm._FilterDatabase" localSheetId="3" hidden="1">'4月'!$C$7:$K$17</definedName>
    <definedName name="_xlnm._FilterDatabase" localSheetId="4" hidden="1">'5月'!$C$7:$K$20</definedName>
    <definedName name="_xlnm._FilterDatabase" localSheetId="5" hidden="1">'6月'!$C$7:$K$20</definedName>
    <definedName name="_xlnm._FilterDatabase" localSheetId="6" hidden="1">得点計!$C$7:$K$26</definedName>
    <definedName name="AccessDatabase" hidden="1">"A:\フリートレース.mdb"</definedName>
    <definedName name="Button_1">"フリートレース_月別フォーマット_List"</definedName>
    <definedName name="Button_2">"フリートレース_月別フォーマット_List"</definedName>
    <definedName name="Button_3">"フリートレース_月別フォーマット_List"</definedName>
    <definedName name="Button_4">"フリートレース_月別フォーマット_List"</definedName>
    <definedName name="Button_7">"フリートレース_各艇データ__2__List"</definedName>
    <definedName name="Button_8">"フリートレース_各艇データ__2__List"</definedName>
    <definedName name="_xlnm.Print_Area" localSheetId="0">'1月'!$B$2:$Q$41</definedName>
    <definedName name="_xlnm.Print_Area" localSheetId="1">'2月'!$B$2:$Q$41</definedName>
    <definedName name="_xlnm.Print_Area" localSheetId="2">'3月'!$B$2:$Q$41</definedName>
    <definedName name="_xlnm.Print_Area" localSheetId="3">'4月'!$B$2:$Q$41</definedName>
    <definedName name="_xlnm.Print_Area" localSheetId="4">'5月'!$B$2:$Q$41</definedName>
    <definedName name="_xlnm.Print_Area" localSheetId="5">'6月'!$B$2:$Q$41</definedName>
    <definedName name="_xlnm.Print_Area" localSheetId="7">ｺﾐｯﾃｨｰ!$B$2:$M$33</definedName>
    <definedName name="_xlnm.Print_Area" localSheetId="6">得点計!$B$1:$N$48</definedName>
    <definedName name="ＴＡ">参照ﾃﾞｰﾀ!$S$3:$S$7</definedName>
    <definedName name="コース">参照ﾃﾞｰﾀ!$B$3:$B$15</definedName>
    <definedName name="コース・距離">参照ﾃﾞｰﾀ!$B$3:$D$15</definedName>
    <definedName name="フリートレース_各艇データ__2__List" localSheetId="1">#REF!</definedName>
    <definedName name="フリートレース_各艇データ__2__List" localSheetId="2">#REF!</definedName>
    <definedName name="フリートレース_各艇データ__2__List" localSheetId="3">#REF!</definedName>
    <definedName name="フリートレース_各艇データ__2__List" localSheetId="4">#REF!</definedName>
    <definedName name="フリートレース_各艇データ__2__List" localSheetId="5">#REF!</definedName>
    <definedName name="フリートレース_各艇データ__2__List">#REF!</definedName>
    <definedName name="フリートレース_月別フォーマット_List" localSheetId="1">#REF!</definedName>
    <definedName name="フリートレース_月別フォーマット_List" localSheetId="2">#REF!</definedName>
    <definedName name="フリートレース_月別フォーマット_List" localSheetId="3">#REF!</definedName>
    <definedName name="フリートレース_月別フォーマット_List" localSheetId="4">#REF!</definedName>
    <definedName name="フリートレース_月別フォーマット_List" localSheetId="5">#REF!</definedName>
    <definedName name="フリートレース_月別フォーマット_List">#REF!</definedName>
    <definedName name="ランデブーレースＴＡ">参照ＴＡ!#REF!</definedName>
    <definedName name="レース番号">参照ﾃﾞｰﾀ!$M$3:$M$17</definedName>
    <definedName name="レース名">参照ﾃﾞｰﾀ!$O$3:$O$6</definedName>
    <definedName name="開催日">参照ﾃﾞｰﾀ!$J$3:$J$17</definedName>
    <definedName name="各艇データ">参照ﾃﾞｰﾀ!#REF!</definedName>
    <definedName name="月">参照ﾃﾞｰﾀ!$H$3:$H$16</definedName>
    <definedName name="暫定">参照ﾃﾞｰﾀ!$Q$3:$Q$5</definedName>
    <definedName name="時刻">参照ﾃﾞｰﾀ!$U$3:$U$12</definedName>
    <definedName name="第1月ＴＡ">参照ＴＡ!$C$6:$I$50</definedName>
    <definedName name="第2月ＴＡ">参照ＴＡ!$L$6:$R$50</definedName>
    <definedName name="第3月ＴＡ">参照ＴＡ!$U$6:$AA$50</definedName>
    <definedName name="第4月ＴＡ">参照ＴＡ!$AD$6:$AJ$50</definedName>
    <definedName name="第5月ＴＡ">参照ＴＡ!$AM$6:$AS$50</definedName>
    <definedName name="第6月ＴＡ">参照ＴＡ!$AV$6:$BB$50</definedName>
    <definedName name="得点">参照ﾃﾞｰﾀ!$W$3:$W$7</definedName>
    <definedName name="年">参照ﾃﾞｰﾀ!$F$3:$F$12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0" i="20" l="1"/>
  <c r="R7" i="20"/>
  <c r="R8" i="20"/>
  <c r="R9" i="20"/>
  <c r="R10" i="20"/>
  <c r="R11" i="20"/>
  <c r="R12" i="20"/>
  <c r="R13" i="20"/>
  <c r="R14" i="20"/>
  <c r="R15" i="20"/>
  <c r="R16" i="20"/>
  <c r="R17" i="20"/>
  <c r="R18" i="20"/>
  <c r="F39" i="27"/>
  <c r="C4" i="20"/>
  <c r="M4" i="20"/>
  <c r="K4" i="20"/>
  <c r="I4" i="20"/>
  <c r="G4" i="20"/>
  <c r="E4" i="20"/>
  <c r="J5" i="19"/>
  <c r="I5" i="19"/>
  <c r="H5" i="19"/>
  <c r="G5" i="19"/>
  <c r="F5" i="19"/>
  <c r="E5" i="19"/>
  <c r="D3" i="36"/>
  <c r="D3" i="35"/>
  <c r="D3" i="33"/>
  <c r="D3" i="32"/>
  <c r="D3" i="30"/>
  <c r="D3" i="27"/>
  <c r="P2" i="36"/>
  <c r="N2" i="36"/>
  <c r="P2" i="35"/>
  <c r="N2" i="35"/>
  <c r="P2" i="33"/>
  <c r="N2" i="33"/>
  <c r="P2" i="32"/>
  <c r="N2" i="32"/>
  <c r="P2" i="30"/>
  <c r="N2" i="30"/>
  <c r="P2" i="27"/>
  <c r="N2" i="27"/>
  <c r="V2" i="35"/>
  <c r="W2" i="36"/>
  <c r="V2" i="36"/>
  <c r="W2" i="35"/>
  <c r="X2" i="27"/>
  <c r="W2" i="27"/>
  <c r="X2" i="30"/>
  <c r="W2" i="30"/>
  <c r="X2" i="32"/>
  <c r="W2" i="32"/>
  <c r="E6" i="19" l="1"/>
  <c r="J6" i="19"/>
  <c r="I6" i="19"/>
  <c r="H6" i="19"/>
  <c r="G6" i="19"/>
  <c r="F6" i="19"/>
  <c r="J4" i="19"/>
  <c r="I4" i="19"/>
  <c r="H4" i="19"/>
  <c r="G4" i="19"/>
  <c r="F4" i="19"/>
  <c r="E4" i="19"/>
  <c r="O6" i="36"/>
  <c r="O6" i="35"/>
  <c r="O6" i="33"/>
  <c r="O6" i="32"/>
  <c r="O6" i="30"/>
  <c r="F38" i="36"/>
  <c r="F37" i="36"/>
  <c r="F38" i="35"/>
  <c r="F37" i="35"/>
  <c r="F38" i="33"/>
  <c r="F37" i="33"/>
  <c r="F38" i="32"/>
  <c r="F37" i="32"/>
  <c r="F38" i="27"/>
  <c r="F37" i="27"/>
  <c r="F38" i="30"/>
  <c r="F37" i="30"/>
  <c r="AW3" i="37"/>
  <c r="AN3" i="37"/>
  <c r="AE3" i="37"/>
  <c r="V3" i="37"/>
  <c r="M3" i="37"/>
  <c r="D3" i="37"/>
  <c r="F39" i="36"/>
  <c r="F35" i="36"/>
  <c r="F39" i="35"/>
  <c r="F35" i="35"/>
  <c r="F39" i="33"/>
  <c r="F35" i="33"/>
  <c r="F39" i="32"/>
  <c r="F35" i="32"/>
  <c r="F39" i="30"/>
  <c r="F35" i="30"/>
  <c r="F35" i="27"/>
  <c r="N3" i="36"/>
  <c r="K14" i="2"/>
  <c r="K15" i="2"/>
  <c r="K16" i="2"/>
  <c r="K17" i="2"/>
  <c r="K4" i="2"/>
  <c r="K5" i="2"/>
  <c r="K6" i="2"/>
  <c r="K7" i="2"/>
  <c r="K8" i="2"/>
  <c r="K9" i="2"/>
  <c r="K10" i="2"/>
  <c r="K11" i="2"/>
  <c r="K12" i="2"/>
  <c r="K13" i="2"/>
  <c r="D31" i="36" l="1"/>
  <c r="D30" i="36"/>
  <c r="D29" i="36"/>
  <c r="D28" i="36"/>
  <c r="D27" i="36"/>
  <c r="D26" i="36"/>
  <c r="D25" i="36"/>
  <c r="D24" i="36"/>
  <c r="D23" i="36"/>
  <c r="D22" i="36"/>
  <c r="Y31" i="36"/>
  <c r="Y30" i="36"/>
  <c r="Y29" i="36"/>
  <c r="Y28" i="36"/>
  <c r="Y27" i="36"/>
  <c r="Y26" i="36"/>
  <c r="Y25" i="36"/>
  <c r="Y24" i="36"/>
  <c r="Y23" i="36"/>
  <c r="Y22" i="36"/>
  <c r="Y21" i="36"/>
  <c r="Y20" i="36"/>
  <c r="Y19" i="36"/>
  <c r="Y18" i="36"/>
  <c r="Y17" i="36"/>
  <c r="Y16" i="36"/>
  <c r="Y15" i="36"/>
  <c r="Y14" i="36"/>
  <c r="Y13" i="36"/>
  <c r="Y12" i="36"/>
  <c r="Y11" i="36"/>
  <c r="Y10" i="36"/>
  <c r="Y9" i="36"/>
  <c r="Y8" i="36"/>
  <c r="Y7" i="36"/>
  <c r="Y31" i="35"/>
  <c r="Y30" i="35"/>
  <c r="Y29" i="35"/>
  <c r="Y28" i="35"/>
  <c r="Y27" i="35"/>
  <c r="Y26" i="35"/>
  <c r="Y25" i="35"/>
  <c r="Y24" i="35"/>
  <c r="Y23" i="35"/>
  <c r="Y22" i="35"/>
  <c r="Y21" i="35"/>
  <c r="Y20" i="35"/>
  <c r="Y19" i="35"/>
  <c r="Y18" i="35"/>
  <c r="Y17" i="35"/>
  <c r="Y16" i="35"/>
  <c r="Y15" i="35"/>
  <c r="Y14" i="35"/>
  <c r="Y13" i="35"/>
  <c r="Y12" i="35"/>
  <c r="Y11" i="35"/>
  <c r="Y10" i="35"/>
  <c r="Y9" i="35"/>
  <c r="Y8" i="35"/>
  <c r="Y7" i="35"/>
  <c r="AC8" i="36" l="1"/>
  <c r="AC9" i="36"/>
  <c r="AC10" i="36"/>
  <c r="AC11" i="36"/>
  <c r="AC12" i="36"/>
  <c r="AC13" i="36"/>
  <c r="AC14" i="36"/>
  <c r="AC15" i="36"/>
  <c r="AC16" i="36"/>
  <c r="AC17" i="36"/>
  <c r="AC18" i="36"/>
  <c r="AC19" i="36"/>
  <c r="AC20" i="36"/>
  <c r="AC21" i="36"/>
  <c r="AC22" i="36"/>
  <c r="AC23" i="36"/>
  <c r="AC24" i="36"/>
  <c r="AC25" i="36"/>
  <c r="AC26" i="36"/>
  <c r="AC8" i="35"/>
  <c r="AC9" i="35"/>
  <c r="AC10" i="35"/>
  <c r="AC11" i="35"/>
  <c r="AC12" i="35"/>
  <c r="AC13" i="35"/>
  <c r="AC14" i="35"/>
  <c r="AC15" i="35"/>
  <c r="AC16" i="35"/>
  <c r="AC17" i="35"/>
  <c r="AC18" i="35"/>
  <c r="AC19" i="35"/>
  <c r="AC20" i="35"/>
  <c r="AC21" i="35"/>
  <c r="AC22" i="35"/>
  <c r="AC23" i="35"/>
  <c r="AC24" i="35"/>
  <c r="AC25" i="35"/>
  <c r="AC26" i="35"/>
  <c r="AC27" i="35"/>
  <c r="AC28" i="35"/>
  <c r="AC29" i="35"/>
  <c r="AC30" i="35"/>
  <c r="AF31" i="32"/>
  <c r="AE31" i="32"/>
  <c r="AD31" i="32"/>
  <c r="AC31" i="32"/>
  <c r="AB31" i="32"/>
  <c r="AF30" i="32"/>
  <c r="AE30" i="32"/>
  <c r="AD30" i="32"/>
  <c r="AC30" i="32"/>
  <c r="AB30" i="32"/>
  <c r="AF29" i="32"/>
  <c r="AE29" i="32"/>
  <c r="AD29" i="32"/>
  <c r="AC29" i="32"/>
  <c r="AB29" i="32"/>
  <c r="AF28" i="32"/>
  <c r="AE28" i="32"/>
  <c r="AD28" i="32"/>
  <c r="AC28" i="32"/>
  <c r="AB28" i="32"/>
  <c r="AF27" i="32"/>
  <c r="AE27" i="32"/>
  <c r="AD27" i="32"/>
  <c r="AC27" i="32"/>
  <c r="AB27" i="32"/>
  <c r="AF26" i="32"/>
  <c r="AE26" i="32"/>
  <c r="AD26" i="32"/>
  <c r="AC26" i="32"/>
  <c r="AB26" i="32"/>
  <c r="AF25" i="32"/>
  <c r="AE25" i="32"/>
  <c r="AD25" i="32"/>
  <c r="AC25" i="32"/>
  <c r="AB25" i="32"/>
  <c r="AF24" i="32"/>
  <c r="AE24" i="32"/>
  <c r="AD24" i="32"/>
  <c r="AC24" i="32"/>
  <c r="AB24" i="32"/>
  <c r="AF23" i="32"/>
  <c r="AE23" i="32"/>
  <c r="AD23" i="32"/>
  <c r="AC23" i="32"/>
  <c r="AB23" i="32"/>
  <c r="AF22" i="32"/>
  <c r="AE22" i="32"/>
  <c r="AD22" i="32"/>
  <c r="AC22" i="32"/>
  <c r="AB22" i="32"/>
  <c r="AF21" i="32"/>
  <c r="AE21" i="32"/>
  <c r="AD21" i="32"/>
  <c r="AC21" i="32"/>
  <c r="AB21" i="32"/>
  <c r="AF20" i="32"/>
  <c r="AE20" i="32"/>
  <c r="AD20" i="32"/>
  <c r="AC20" i="32"/>
  <c r="AB20" i="32"/>
  <c r="AF19" i="32"/>
  <c r="AE19" i="32"/>
  <c r="AD19" i="32"/>
  <c r="AC19" i="32"/>
  <c r="AB19" i="32"/>
  <c r="AF18" i="32"/>
  <c r="AE18" i="32"/>
  <c r="AD18" i="32"/>
  <c r="AC18" i="32"/>
  <c r="AB18" i="32"/>
  <c r="AF17" i="32"/>
  <c r="AE17" i="32"/>
  <c r="AD17" i="32"/>
  <c r="AC17" i="32"/>
  <c r="AB17" i="32"/>
  <c r="AF16" i="32"/>
  <c r="AE16" i="32"/>
  <c r="AD16" i="32"/>
  <c r="AC16" i="32"/>
  <c r="AB16" i="32"/>
  <c r="AF15" i="32"/>
  <c r="AE15" i="32"/>
  <c r="AD15" i="32"/>
  <c r="AC15" i="32"/>
  <c r="AB15" i="32"/>
  <c r="AF14" i="32"/>
  <c r="AE14" i="32"/>
  <c r="AD14" i="32"/>
  <c r="AC14" i="32"/>
  <c r="AB14" i="32"/>
  <c r="AF13" i="32"/>
  <c r="AE13" i="32"/>
  <c r="AD13" i="32"/>
  <c r="AC13" i="32"/>
  <c r="AB13" i="32"/>
  <c r="AF12" i="32"/>
  <c r="AE12" i="32"/>
  <c r="AD12" i="32"/>
  <c r="AC12" i="32"/>
  <c r="AB12" i="32"/>
  <c r="AF11" i="32"/>
  <c r="AE11" i="32"/>
  <c r="AD11" i="32"/>
  <c r="AC11" i="32"/>
  <c r="AB11" i="32"/>
  <c r="AF10" i="32"/>
  <c r="AE10" i="32"/>
  <c r="AD10" i="32"/>
  <c r="AC10" i="32"/>
  <c r="AB10" i="32"/>
  <c r="AF9" i="32"/>
  <c r="AE9" i="32"/>
  <c r="AD9" i="32"/>
  <c r="AC9" i="32"/>
  <c r="AB9" i="32"/>
  <c r="AF8" i="32"/>
  <c r="AE8" i="32"/>
  <c r="AD8" i="32"/>
  <c r="AC8" i="32"/>
  <c r="AB8" i="32"/>
  <c r="AF7" i="32"/>
  <c r="AE7" i="32"/>
  <c r="AD7" i="32"/>
  <c r="AC7" i="32"/>
  <c r="AB7" i="32"/>
  <c r="AD8" i="30"/>
  <c r="AD9" i="30"/>
  <c r="AD10" i="30"/>
  <c r="AD11" i="30"/>
  <c r="AD12" i="30"/>
  <c r="AD13" i="30"/>
  <c r="AD14" i="30"/>
  <c r="AD15" i="30"/>
  <c r="AD16" i="30"/>
  <c r="AD17" i="30"/>
  <c r="AD18" i="30"/>
  <c r="AD19" i="30"/>
  <c r="AD20" i="30"/>
  <c r="AD21" i="30"/>
  <c r="AD22" i="30"/>
  <c r="AD23" i="30"/>
  <c r="AD24" i="30"/>
  <c r="AD25" i="30"/>
  <c r="AD26" i="30"/>
  <c r="AD27" i="30"/>
  <c r="AD28" i="30"/>
  <c r="AD29" i="30"/>
  <c r="AD30" i="30"/>
  <c r="AD7" i="30"/>
  <c r="AC8" i="30"/>
  <c r="AC9" i="30"/>
  <c r="AC10" i="30"/>
  <c r="AC11" i="30"/>
  <c r="AC12" i="30"/>
  <c r="AC13" i="30"/>
  <c r="AC14" i="30"/>
  <c r="AC15" i="30"/>
  <c r="AC16" i="30"/>
  <c r="AC17" i="30"/>
  <c r="AC18" i="30"/>
  <c r="AC19" i="30"/>
  <c r="AC20" i="30"/>
  <c r="AC21" i="30"/>
  <c r="AC22" i="30"/>
  <c r="AC23" i="30"/>
  <c r="AC24" i="30"/>
  <c r="AC25" i="30"/>
  <c r="AC26" i="30"/>
  <c r="AC27" i="30"/>
  <c r="AC28" i="30"/>
  <c r="AC29" i="30"/>
  <c r="AC30" i="30"/>
  <c r="AC7" i="30"/>
  <c r="AB8" i="30"/>
  <c r="AB9" i="30"/>
  <c r="AB10" i="30"/>
  <c r="AB11" i="30"/>
  <c r="AB12" i="30"/>
  <c r="AB13" i="30"/>
  <c r="AB14" i="30"/>
  <c r="AB15" i="30"/>
  <c r="AB16" i="30"/>
  <c r="AB17" i="30"/>
  <c r="AB18" i="30"/>
  <c r="AB19" i="30"/>
  <c r="AB20" i="30"/>
  <c r="AB21" i="30"/>
  <c r="AB22" i="30"/>
  <c r="AB23" i="30"/>
  <c r="AB24" i="30"/>
  <c r="AB25" i="30"/>
  <c r="AB26" i="30"/>
  <c r="AB27" i="30"/>
  <c r="AB28" i="30"/>
  <c r="AB29" i="30"/>
  <c r="AB30" i="30"/>
  <c r="AB7" i="30"/>
  <c r="AE31" i="36"/>
  <c r="AD31" i="36"/>
  <c r="AC31" i="36"/>
  <c r="AB31" i="36"/>
  <c r="AA31" i="36"/>
  <c r="AE30" i="36"/>
  <c r="AD30" i="36"/>
  <c r="AC30" i="36"/>
  <c r="AB30" i="36"/>
  <c r="AA30" i="36"/>
  <c r="AE29" i="36"/>
  <c r="AD29" i="36"/>
  <c r="AC29" i="36"/>
  <c r="AB29" i="36"/>
  <c r="AA29" i="36"/>
  <c r="AE28" i="36"/>
  <c r="AD28" i="36"/>
  <c r="AC28" i="36"/>
  <c r="AB28" i="36"/>
  <c r="AA28" i="36"/>
  <c r="AE27" i="36"/>
  <c r="AD27" i="36"/>
  <c r="AC27" i="36"/>
  <c r="AB27" i="36"/>
  <c r="AA27" i="36"/>
  <c r="AE26" i="36"/>
  <c r="O26" i="36" s="1"/>
  <c r="AD26" i="36"/>
  <c r="AB26" i="36"/>
  <c r="AA26" i="36"/>
  <c r="AE25" i="36"/>
  <c r="AD25" i="36"/>
  <c r="AB25" i="36"/>
  <c r="AA25" i="36"/>
  <c r="AE24" i="36"/>
  <c r="O24" i="36" s="1"/>
  <c r="AD24" i="36"/>
  <c r="AB24" i="36"/>
  <c r="AA24" i="36"/>
  <c r="AE23" i="36"/>
  <c r="AD23" i="36"/>
  <c r="AB23" i="36"/>
  <c r="AA23" i="36"/>
  <c r="AE22" i="36"/>
  <c r="AD22" i="36"/>
  <c r="AB22" i="36"/>
  <c r="AA22" i="36"/>
  <c r="AE21" i="36"/>
  <c r="AD21" i="36"/>
  <c r="AB21" i="36"/>
  <c r="AA21" i="36"/>
  <c r="AE20" i="36"/>
  <c r="AD20" i="36"/>
  <c r="AB20" i="36"/>
  <c r="AA20" i="36"/>
  <c r="AE19" i="36"/>
  <c r="AD19" i="36"/>
  <c r="AB19" i="36"/>
  <c r="AA19" i="36"/>
  <c r="AE18" i="36"/>
  <c r="AD18" i="36"/>
  <c r="AB18" i="36"/>
  <c r="AA18" i="36"/>
  <c r="AE17" i="36"/>
  <c r="AD17" i="36"/>
  <c r="AB17" i="36"/>
  <c r="AA17" i="36"/>
  <c r="AE16" i="36"/>
  <c r="AD16" i="36"/>
  <c r="AB16" i="36"/>
  <c r="AA16" i="36"/>
  <c r="AE15" i="36"/>
  <c r="AD15" i="36"/>
  <c r="AB15" i="36"/>
  <c r="AA15" i="36"/>
  <c r="AE14" i="36"/>
  <c r="AD14" i="36"/>
  <c r="AB14" i="36"/>
  <c r="AA14" i="36"/>
  <c r="AE13" i="36"/>
  <c r="AD13" i="36"/>
  <c r="AB13" i="36"/>
  <c r="AA13" i="36"/>
  <c r="AE12" i="36"/>
  <c r="AD12" i="36"/>
  <c r="AB12" i="36"/>
  <c r="AA12" i="36"/>
  <c r="AE11" i="36"/>
  <c r="AD11" i="36"/>
  <c r="AB11" i="36"/>
  <c r="AA11" i="36"/>
  <c r="AE10" i="36"/>
  <c r="AD10" i="36"/>
  <c r="AB10" i="36"/>
  <c r="AA10" i="36"/>
  <c r="AE9" i="36"/>
  <c r="AD9" i="36"/>
  <c r="AB9" i="36"/>
  <c r="AA9" i="36"/>
  <c r="AE8" i="36"/>
  <c r="AD8" i="36"/>
  <c r="AB8" i="36"/>
  <c r="AA8" i="36"/>
  <c r="AE7" i="36"/>
  <c r="AD7" i="36"/>
  <c r="AC7" i="36"/>
  <c r="AB7" i="36"/>
  <c r="AA7" i="36"/>
  <c r="AA8" i="35"/>
  <c r="AA9" i="35"/>
  <c r="AA10" i="35"/>
  <c r="AA11" i="35"/>
  <c r="AA12" i="35"/>
  <c r="AA13" i="35"/>
  <c r="AA14" i="35"/>
  <c r="AA15" i="35"/>
  <c r="AA16" i="35"/>
  <c r="AA17" i="35"/>
  <c r="AA18" i="35"/>
  <c r="AA19" i="35"/>
  <c r="AA20" i="35"/>
  <c r="AA21" i="35"/>
  <c r="AA22" i="35"/>
  <c r="AA23" i="35"/>
  <c r="AA24" i="35"/>
  <c r="AA25" i="35"/>
  <c r="AA26" i="35"/>
  <c r="AA27" i="35"/>
  <c r="AA28" i="35"/>
  <c r="AA29" i="35"/>
  <c r="AA30" i="35"/>
  <c r="AA7" i="35"/>
  <c r="AB8" i="35"/>
  <c r="AB9" i="35"/>
  <c r="AB10" i="35"/>
  <c r="AB11" i="35"/>
  <c r="AB12" i="35"/>
  <c r="AB13" i="35"/>
  <c r="AB14" i="35"/>
  <c r="AB15" i="35"/>
  <c r="AB16" i="35"/>
  <c r="AB17" i="35"/>
  <c r="AB18" i="35"/>
  <c r="AB19" i="35"/>
  <c r="AB20" i="35"/>
  <c r="AB21" i="35"/>
  <c r="AB22" i="35"/>
  <c r="AB23" i="35"/>
  <c r="AB24" i="35"/>
  <c r="AB25" i="35"/>
  <c r="AB26" i="35"/>
  <c r="AB27" i="35"/>
  <c r="AB28" i="35"/>
  <c r="AB29" i="35"/>
  <c r="AB30" i="35"/>
  <c r="AB31" i="35"/>
  <c r="AB7" i="35"/>
  <c r="AC31" i="35"/>
  <c r="AC7" i="35"/>
  <c r="AE31" i="35"/>
  <c r="AD31" i="35"/>
  <c r="AA31" i="35"/>
  <c r="AE30" i="35"/>
  <c r="AD30" i="35"/>
  <c r="AE29" i="35"/>
  <c r="AD29" i="35"/>
  <c r="AE28" i="35"/>
  <c r="O28" i="35" s="1"/>
  <c r="AD28" i="35"/>
  <c r="AE27" i="35"/>
  <c r="O27" i="35" s="1"/>
  <c r="AD27" i="35"/>
  <c r="AE26" i="35"/>
  <c r="AD26" i="35"/>
  <c r="AE25" i="35"/>
  <c r="AD25" i="35"/>
  <c r="AE24" i="35"/>
  <c r="O24" i="35" s="1"/>
  <c r="AD24" i="35"/>
  <c r="AE23" i="35"/>
  <c r="O23" i="35" s="1"/>
  <c r="AD23" i="35"/>
  <c r="AE22" i="35"/>
  <c r="AD22" i="35"/>
  <c r="AE21" i="35"/>
  <c r="AD21" i="35"/>
  <c r="AE20" i="35"/>
  <c r="O20" i="35" s="1"/>
  <c r="AD20" i="35"/>
  <c r="AE19" i="35"/>
  <c r="O19" i="35" s="1"/>
  <c r="AD19" i="35"/>
  <c r="AE18" i="35"/>
  <c r="AD18" i="35"/>
  <c r="AE17" i="35"/>
  <c r="AD17" i="35"/>
  <c r="AE16" i="35"/>
  <c r="O16" i="35" s="1"/>
  <c r="AD16" i="35"/>
  <c r="AE15" i="35"/>
  <c r="O15" i="35" s="1"/>
  <c r="AD15" i="35"/>
  <c r="AE14" i="35"/>
  <c r="AD14" i="35"/>
  <c r="AE13" i="35"/>
  <c r="AD13" i="35"/>
  <c r="AE12" i="35"/>
  <c r="O12" i="35" s="1"/>
  <c r="I9" i="19" s="1"/>
  <c r="AD12" i="35"/>
  <c r="AE11" i="35"/>
  <c r="O11" i="35" s="1"/>
  <c r="AD11" i="35"/>
  <c r="AE10" i="35"/>
  <c r="AD10" i="35"/>
  <c r="AE9" i="35"/>
  <c r="AD9" i="35"/>
  <c r="AE8" i="35"/>
  <c r="O8" i="35" s="1"/>
  <c r="AD8" i="35"/>
  <c r="AE7" i="35"/>
  <c r="O7" i="35" s="1"/>
  <c r="I7" i="19" s="1"/>
  <c r="AD7" i="35"/>
  <c r="O31" i="36"/>
  <c r="O9" i="35"/>
  <c r="O10" i="35"/>
  <c r="O13" i="35"/>
  <c r="O14" i="35"/>
  <c r="O17" i="35"/>
  <c r="O18" i="35"/>
  <c r="O21" i="35"/>
  <c r="O22" i="35"/>
  <c r="O25" i="35"/>
  <c r="O26" i="35"/>
  <c r="O29" i="35"/>
  <c r="O30" i="35"/>
  <c r="O31" i="35"/>
  <c r="O31" i="33"/>
  <c r="O24" i="32"/>
  <c r="O16" i="32"/>
  <c r="O8" i="32"/>
  <c r="O31" i="32"/>
  <c r="O25" i="30"/>
  <c r="O17" i="30"/>
  <c r="O9" i="30"/>
  <c r="F7" i="19" s="1"/>
  <c r="O31" i="30"/>
  <c r="AF31" i="33"/>
  <c r="AE31" i="33"/>
  <c r="AD31" i="33"/>
  <c r="AC31" i="33"/>
  <c r="AB31" i="33"/>
  <c r="Z31" i="33"/>
  <c r="I31" i="33" s="1"/>
  <c r="AF30" i="33"/>
  <c r="AE30" i="33"/>
  <c r="AD30" i="33"/>
  <c r="AC30" i="33"/>
  <c r="AB30" i="33"/>
  <c r="Z30" i="33"/>
  <c r="I30" i="33" s="1"/>
  <c r="AF29" i="33"/>
  <c r="AE29" i="33"/>
  <c r="AD29" i="33"/>
  <c r="AC29" i="33"/>
  <c r="AB29" i="33"/>
  <c r="Z29" i="33"/>
  <c r="I29" i="33" s="1"/>
  <c r="AF28" i="33"/>
  <c r="AE28" i="33"/>
  <c r="AD28" i="33"/>
  <c r="AC28" i="33"/>
  <c r="AB28" i="33"/>
  <c r="Z28" i="33"/>
  <c r="I28" i="33" s="1"/>
  <c r="AF27" i="33"/>
  <c r="AE27" i="33"/>
  <c r="AD27" i="33"/>
  <c r="AC27" i="33"/>
  <c r="AB27" i="33"/>
  <c r="Z27" i="33"/>
  <c r="I27" i="33" s="1"/>
  <c r="AF26" i="33"/>
  <c r="AE26" i="33"/>
  <c r="AD26" i="33"/>
  <c r="AC26" i="33"/>
  <c r="AB26" i="33"/>
  <c r="Z26" i="33"/>
  <c r="I26" i="33" s="1"/>
  <c r="AF25" i="33"/>
  <c r="AE25" i="33"/>
  <c r="AD25" i="33"/>
  <c r="AC25" i="33"/>
  <c r="AB25" i="33"/>
  <c r="Z25" i="33"/>
  <c r="I25" i="33" s="1"/>
  <c r="AF24" i="33"/>
  <c r="O24" i="33" s="1"/>
  <c r="AE24" i="33"/>
  <c r="AD24" i="33"/>
  <c r="AC24" i="33"/>
  <c r="AB24" i="33"/>
  <c r="Z24" i="33"/>
  <c r="I24" i="33" s="1"/>
  <c r="AF23" i="33"/>
  <c r="AE23" i="33"/>
  <c r="AD23" i="33"/>
  <c r="AC23" i="33"/>
  <c r="AB23" i="33"/>
  <c r="Z23" i="33"/>
  <c r="I23" i="33" s="1"/>
  <c r="AF22" i="33"/>
  <c r="AE22" i="33"/>
  <c r="AD22" i="33"/>
  <c r="AC22" i="33"/>
  <c r="Z22" i="33"/>
  <c r="I22" i="33" s="1"/>
  <c r="AF21" i="33"/>
  <c r="AE21" i="33"/>
  <c r="AD21" i="33"/>
  <c r="AC21" i="33"/>
  <c r="AB21" i="33"/>
  <c r="Z21" i="33"/>
  <c r="I21" i="33" s="1"/>
  <c r="AF20" i="33"/>
  <c r="AE20" i="33"/>
  <c r="AD20" i="33"/>
  <c r="AC20" i="33"/>
  <c r="AB20" i="33"/>
  <c r="Z20" i="33"/>
  <c r="I20" i="33" s="1"/>
  <c r="AF19" i="33"/>
  <c r="AE19" i="33"/>
  <c r="AD19" i="33"/>
  <c r="AC19" i="33"/>
  <c r="AB19" i="33"/>
  <c r="Z19" i="33"/>
  <c r="I19" i="33" s="1"/>
  <c r="AF18" i="33"/>
  <c r="AE18" i="33"/>
  <c r="AD18" i="33"/>
  <c r="AC18" i="33"/>
  <c r="AB18" i="33"/>
  <c r="Z18" i="33"/>
  <c r="I18" i="33" s="1"/>
  <c r="AF17" i="33"/>
  <c r="AE17" i="33"/>
  <c r="AD17" i="33"/>
  <c r="AC17" i="33"/>
  <c r="AB17" i="33"/>
  <c r="Z17" i="33"/>
  <c r="I17" i="33" s="1"/>
  <c r="AF16" i="33"/>
  <c r="O16" i="33" s="1"/>
  <c r="AE16" i="33"/>
  <c r="AD16" i="33"/>
  <c r="AC16" i="33"/>
  <c r="AB16" i="33"/>
  <c r="Z16" i="33"/>
  <c r="I16" i="33" s="1"/>
  <c r="AF15" i="33"/>
  <c r="AE15" i="33"/>
  <c r="AD15" i="33"/>
  <c r="AC15" i="33"/>
  <c r="AB15" i="33"/>
  <c r="Z15" i="33"/>
  <c r="I15" i="33" s="1"/>
  <c r="AF14" i="33"/>
  <c r="AE14" i="33"/>
  <c r="AD14" i="33"/>
  <c r="AC14" i="33"/>
  <c r="AB14" i="33"/>
  <c r="Z14" i="33"/>
  <c r="I14" i="33" s="1"/>
  <c r="AF13" i="33"/>
  <c r="AE13" i="33"/>
  <c r="AD13" i="33"/>
  <c r="AC13" i="33"/>
  <c r="AB13" i="33"/>
  <c r="Z13" i="33"/>
  <c r="I13" i="33" s="1"/>
  <c r="AF12" i="33"/>
  <c r="AE12" i="33"/>
  <c r="AD12" i="33"/>
  <c r="AC12" i="33"/>
  <c r="AB12" i="33"/>
  <c r="Z12" i="33"/>
  <c r="I12" i="33" s="1"/>
  <c r="AF11" i="33"/>
  <c r="AE11" i="33"/>
  <c r="AD11" i="33"/>
  <c r="AC11" i="33"/>
  <c r="AB11" i="33"/>
  <c r="Z11" i="33"/>
  <c r="I11" i="33" s="1"/>
  <c r="AF10" i="33"/>
  <c r="AE10" i="33"/>
  <c r="AD10" i="33"/>
  <c r="AC10" i="33"/>
  <c r="AB10" i="33"/>
  <c r="Z10" i="33"/>
  <c r="I10" i="33" s="1"/>
  <c r="AF9" i="33"/>
  <c r="AE9" i="33"/>
  <c r="AD9" i="33"/>
  <c r="AC9" i="33"/>
  <c r="AB9" i="33"/>
  <c r="Z9" i="33"/>
  <c r="I9" i="33" s="1"/>
  <c r="AF8" i="33"/>
  <c r="O8" i="33" s="1"/>
  <c r="AE8" i="33"/>
  <c r="AD8" i="33"/>
  <c r="AC8" i="33"/>
  <c r="AB8" i="33"/>
  <c r="Z8" i="33"/>
  <c r="I8" i="33" s="1"/>
  <c r="AF7" i="33"/>
  <c r="AE7" i="33"/>
  <c r="AD7" i="33"/>
  <c r="AC7" i="33"/>
  <c r="AB7" i="33"/>
  <c r="Z7" i="33"/>
  <c r="I7" i="33" s="1"/>
  <c r="Z31" i="32"/>
  <c r="I31" i="32" s="1"/>
  <c r="Z30" i="32"/>
  <c r="I30" i="32" s="1"/>
  <c r="Z29" i="32"/>
  <c r="I29" i="32" s="1"/>
  <c r="Z28" i="32"/>
  <c r="I28" i="32" s="1"/>
  <c r="Z27" i="32"/>
  <c r="I27" i="32" s="1"/>
  <c r="Z26" i="32"/>
  <c r="I26" i="32" s="1"/>
  <c r="Z25" i="32"/>
  <c r="I25" i="32" s="1"/>
  <c r="Z24" i="32"/>
  <c r="I24" i="32" s="1"/>
  <c r="Z23" i="32"/>
  <c r="I23" i="32" s="1"/>
  <c r="Z22" i="32"/>
  <c r="I22" i="32" s="1"/>
  <c r="Z21" i="32"/>
  <c r="I21" i="32" s="1"/>
  <c r="Z20" i="32"/>
  <c r="I20" i="32" s="1"/>
  <c r="Z19" i="32"/>
  <c r="I19" i="32" s="1"/>
  <c r="Z18" i="32"/>
  <c r="I18" i="32" s="1"/>
  <c r="Z17" i="32"/>
  <c r="I17" i="32" s="1"/>
  <c r="Z16" i="32"/>
  <c r="I16" i="32" s="1"/>
  <c r="Z15" i="32"/>
  <c r="I15" i="32" s="1"/>
  <c r="Z14" i="32"/>
  <c r="I14" i="32" s="1"/>
  <c r="Z13" i="32"/>
  <c r="I13" i="32" s="1"/>
  <c r="Z12" i="32"/>
  <c r="I12" i="32" s="1"/>
  <c r="Z11" i="32"/>
  <c r="I11" i="32" s="1"/>
  <c r="Z10" i="32"/>
  <c r="I10" i="32" s="1"/>
  <c r="Z9" i="32"/>
  <c r="I9" i="32" s="1"/>
  <c r="Z8" i="32"/>
  <c r="I8" i="32" s="1"/>
  <c r="Z7" i="32"/>
  <c r="I7" i="32" s="1"/>
  <c r="AF31" i="30"/>
  <c r="AE31" i="30"/>
  <c r="AD31" i="30"/>
  <c r="AC31" i="30"/>
  <c r="AB31" i="30"/>
  <c r="Z31" i="30"/>
  <c r="I31" i="30" s="1"/>
  <c r="AF30" i="30"/>
  <c r="AE30" i="30"/>
  <c r="Z30" i="30"/>
  <c r="I30" i="30" s="1"/>
  <c r="AF29" i="30"/>
  <c r="AE29" i="30"/>
  <c r="Z29" i="30"/>
  <c r="I29" i="30" s="1"/>
  <c r="AF28" i="30"/>
  <c r="AE28" i="30"/>
  <c r="Z28" i="30"/>
  <c r="I28" i="30" s="1"/>
  <c r="AF27" i="30"/>
  <c r="AE27" i="30"/>
  <c r="Z27" i="30"/>
  <c r="I27" i="30" s="1"/>
  <c r="AF26" i="30"/>
  <c r="AE26" i="30"/>
  <c r="Z26" i="30"/>
  <c r="I26" i="30" s="1"/>
  <c r="AF25" i="30"/>
  <c r="AE25" i="30"/>
  <c r="Z25" i="30"/>
  <c r="I25" i="30" s="1"/>
  <c r="AF24" i="30"/>
  <c r="AE24" i="30"/>
  <c r="Z24" i="30"/>
  <c r="I24" i="30" s="1"/>
  <c r="AF23" i="30"/>
  <c r="AE23" i="30"/>
  <c r="Z23" i="30"/>
  <c r="I23" i="30" s="1"/>
  <c r="AF22" i="30"/>
  <c r="AE22" i="30"/>
  <c r="Z22" i="30"/>
  <c r="I22" i="30" s="1"/>
  <c r="AF21" i="30"/>
  <c r="AE21" i="30"/>
  <c r="Z21" i="30"/>
  <c r="I21" i="30" s="1"/>
  <c r="AF20" i="30"/>
  <c r="AE20" i="30"/>
  <c r="Z20" i="30"/>
  <c r="I20" i="30" s="1"/>
  <c r="AF19" i="30"/>
  <c r="AE19" i="30"/>
  <c r="Z19" i="30"/>
  <c r="I19" i="30" s="1"/>
  <c r="AF18" i="30"/>
  <c r="AE18" i="30"/>
  <c r="Z18" i="30"/>
  <c r="I18" i="30" s="1"/>
  <c r="AF17" i="30"/>
  <c r="AE17" i="30"/>
  <c r="Z17" i="30"/>
  <c r="I17" i="30" s="1"/>
  <c r="AF16" i="30"/>
  <c r="AE16" i="30"/>
  <c r="Z16" i="30"/>
  <c r="I16" i="30" s="1"/>
  <c r="AF15" i="30"/>
  <c r="AE15" i="30"/>
  <c r="Z15" i="30"/>
  <c r="I15" i="30" s="1"/>
  <c r="AF14" i="30"/>
  <c r="AE14" i="30"/>
  <c r="Z14" i="30"/>
  <c r="I14" i="30" s="1"/>
  <c r="AF13" i="30"/>
  <c r="AE13" i="30"/>
  <c r="Z13" i="30"/>
  <c r="I13" i="30" s="1"/>
  <c r="AF12" i="30"/>
  <c r="AE12" i="30"/>
  <c r="Z12" i="30"/>
  <c r="I12" i="30" s="1"/>
  <c r="AF11" i="30"/>
  <c r="AE11" i="30"/>
  <c r="Z11" i="30"/>
  <c r="I11" i="30" s="1"/>
  <c r="AF10" i="30"/>
  <c r="AE10" i="30"/>
  <c r="Z10" i="30"/>
  <c r="I10" i="30" s="1"/>
  <c r="AF9" i="30"/>
  <c r="AE9" i="30"/>
  <c r="Z9" i="30"/>
  <c r="I9" i="30" s="1"/>
  <c r="AF8" i="30"/>
  <c r="AE8" i="30"/>
  <c r="Z8" i="30"/>
  <c r="I8" i="30" s="1"/>
  <c r="AF7" i="30"/>
  <c r="AE7" i="30"/>
  <c r="Z7" i="30"/>
  <c r="I7" i="30" s="1"/>
  <c r="AE22" i="27"/>
  <c r="AE23" i="27"/>
  <c r="AE24" i="27"/>
  <c r="AE25" i="27"/>
  <c r="AE26" i="27"/>
  <c r="AF8" i="27"/>
  <c r="AF9" i="27"/>
  <c r="AF10" i="27"/>
  <c r="AF11" i="27"/>
  <c r="AF12" i="27"/>
  <c r="AF13" i="27"/>
  <c r="AF14" i="27"/>
  <c r="AF15" i="27"/>
  <c r="AF16" i="27"/>
  <c r="AF17" i="27"/>
  <c r="AF18" i="27"/>
  <c r="AF19" i="27"/>
  <c r="AF20" i="27"/>
  <c r="AF21" i="27"/>
  <c r="AF22" i="27"/>
  <c r="AF23" i="27"/>
  <c r="AF24" i="27"/>
  <c r="AF25" i="27"/>
  <c r="AF26" i="27"/>
  <c r="AF27" i="27"/>
  <c r="AF28" i="27"/>
  <c r="AF29" i="27"/>
  <c r="AF30" i="27"/>
  <c r="AF31" i="27"/>
  <c r="AF7" i="27"/>
  <c r="AE8" i="27"/>
  <c r="AE9" i="27"/>
  <c r="AE10" i="27"/>
  <c r="AE11" i="27"/>
  <c r="AE12" i="27"/>
  <c r="AE13" i="27"/>
  <c r="AE14" i="27"/>
  <c r="AE15" i="27"/>
  <c r="AE16" i="27"/>
  <c r="AE17" i="27"/>
  <c r="AE18" i="27"/>
  <c r="AE19" i="27"/>
  <c r="AE20" i="27"/>
  <c r="AE21" i="27"/>
  <c r="AE7" i="27"/>
  <c r="AE27" i="27"/>
  <c r="AE28" i="27"/>
  <c r="AE29" i="27"/>
  <c r="AE30" i="27"/>
  <c r="AE31" i="27"/>
  <c r="AD8" i="27"/>
  <c r="AD9" i="27"/>
  <c r="AD10" i="27"/>
  <c r="AD11" i="27"/>
  <c r="AD12" i="27"/>
  <c r="AD13" i="27"/>
  <c r="AD14" i="27"/>
  <c r="AD15" i="27"/>
  <c r="AD16" i="27"/>
  <c r="AD17" i="27"/>
  <c r="AD18" i="27"/>
  <c r="AD19" i="27"/>
  <c r="AD20" i="27"/>
  <c r="AD21" i="27"/>
  <c r="AD22" i="27"/>
  <c r="AD23" i="27"/>
  <c r="AD24" i="27"/>
  <c r="AD25" i="27"/>
  <c r="AD26" i="27"/>
  <c r="AD27" i="27"/>
  <c r="AD28" i="27"/>
  <c r="AD29" i="27"/>
  <c r="AD30" i="27"/>
  <c r="AD31" i="27"/>
  <c r="AD7" i="27"/>
  <c r="AC8" i="27"/>
  <c r="AC9" i="27"/>
  <c r="AC10" i="27"/>
  <c r="AC11" i="27"/>
  <c r="AC12" i="27"/>
  <c r="AC13" i="27"/>
  <c r="AC14" i="27"/>
  <c r="AC15" i="27"/>
  <c r="AC16" i="27"/>
  <c r="AC17" i="27"/>
  <c r="AC18" i="27"/>
  <c r="AC19" i="27"/>
  <c r="AC20" i="27"/>
  <c r="AC21" i="27"/>
  <c r="AC22" i="27"/>
  <c r="AC23" i="27"/>
  <c r="AC24" i="27"/>
  <c r="AC25" i="27"/>
  <c r="AC26" i="27"/>
  <c r="AC27" i="27"/>
  <c r="AC28" i="27"/>
  <c r="AC29" i="27"/>
  <c r="AC30" i="27"/>
  <c r="AC31" i="27"/>
  <c r="AC7" i="27"/>
  <c r="AB8" i="27"/>
  <c r="AB9" i="27"/>
  <c r="AB10" i="27"/>
  <c r="AB11" i="27"/>
  <c r="AB12" i="27"/>
  <c r="AB13" i="27"/>
  <c r="AB14" i="27"/>
  <c r="AB15" i="27"/>
  <c r="AB16" i="27"/>
  <c r="AB17" i="27"/>
  <c r="AB18" i="27"/>
  <c r="AB19" i="27"/>
  <c r="AB20" i="27"/>
  <c r="AB21" i="27"/>
  <c r="AB22" i="27"/>
  <c r="AB23" i="27"/>
  <c r="AB24" i="27"/>
  <c r="AB25" i="27"/>
  <c r="AB26" i="27"/>
  <c r="AB27" i="27"/>
  <c r="AB28" i="27"/>
  <c r="AB29" i="27"/>
  <c r="AB30" i="27"/>
  <c r="AB31" i="27"/>
  <c r="AB7" i="27"/>
  <c r="Z8" i="27"/>
  <c r="Z9" i="27"/>
  <c r="Z10" i="27"/>
  <c r="Z11" i="27"/>
  <c r="Z12" i="27"/>
  <c r="Z13" i="27"/>
  <c r="Z14" i="27"/>
  <c r="Z15" i="27"/>
  <c r="Z16" i="27"/>
  <c r="Z17" i="27"/>
  <c r="Z18" i="27"/>
  <c r="Z19" i="27"/>
  <c r="Z20" i="27"/>
  <c r="Z21" i="27"/>
  <c r="Z22" i="27"/>
  <c r="Z23" i="27"/>
  <c r="Z24" i="27"/>
  <c r="Z25" i="27"/>
  <c r="Z26" i="27"/>
  <c r="Z27" i="27"/>
  <c r="Z28" i="27"/>
  <c r="Z29" i="27"/>
  <c r="Z30" i="27"/>
  <c r="Z31" i="27"/>
  <c r="Z7" i="27"/>
  <c r="N3" i="27"/>
  <c r="N3" i="30"/>
  <c r="J26" i="19"/>
  <c r="I26" i="19"/>
  <c r="H26" i="19"/>
  <c r="G26" i="19"/>
  <c r="F26" i="19"/>
  <c r="E26" i="19"/>
  <c r="J25" i="19"/>
  <c r="I25" i="19"/>
  <c r="H25" i="19"/>
  <c r="G25" i="19"/>
  <c r="F25" i="19"/>
  <c r="E25" i="19"/>
  <c r="J24" i="19"/>
  <c r="I24" i="19"/>
  <c r="H24" i="19"/>
  <c r="G24" i="19"/>
  <c r="F24" i="19"/>
  <c r="E24" i="19"/>
  <c r="J23" i="19"/>
  <c r="I23" i="19"/>
  <c r="H23" i="19"/>
  <c r="G23" i="19"/>
  <c r="F23" i="19"/>
  <c r="E23" i="19"/>
  <c r="J22" i="19"/>
  <c r="I22" i="19"/>
  <c r="H22" i="19"/>
  <c r="G22" i="19"/>
  <c r="F22" i="19"/>
  <c r="E22" i="19"/>
  <c r="J21" i="19"/>
  <c r="I21" i="19"/>
  <c r="H21" i="19"/>
  <c r="G21" i="19"/>
  <c r="F21" i="19"/>
  <c r="E21" i="19"/>
  <c r="J14" i="19"/>
  <c r="I14" i="19"/>
  <c r="H14" i="19"/>
  <c r="G14" i="19"/>
  <c r="F14" i="19"/>
  <c r="E14" i="19"/>
  <c r="J20" i="19"/>
  <c r="I20" i="19"/>
  <c r="H20" i="19"/>
  <c r="G20" i="19"/>
  <c r="F20" i="19"/>
  <c r="E20" i="19"/>
  <c r="J19" i="19"/>
  <c r="I19" i="19"/>
  <c r="H19" i="19"/>
  <c r="G19" i="19"/>
  <c r="F19" i="19"/>
  <c r="E19" i="19"/>
  <c r="J18" i="19"/>
  <c r="I18" i="19"/>
  <c r="H18" i="19"/>
  <c r="G18" i="19"/>
  <c r="F18" i="19"/>
  <c r="E18" i="19"/>
  <c r="J17" i="19"/>
  <c r="I17" i="19"/>
  <c r="H17" i="19"/>
  <c r="G17" i="19"/>
  <c r="F17" i="19"/>
  <c r="E17" i="19"/>
  <c r="J16" i="19"/>
  <c r="I16" i="19"/>
  <c r="H16" i="19"/>
  <c r="G16" i="19"/>
  <c r="F16" i="19"/>
  <c r="E16" i="19"/>
  <c r="J15" i="19"/>
  <c r="I15" i="19"/>
  <c r="H15" i="19"/>
  <c r="G15" i="19"/>
  <c r="F15" i="19"/>
  <c r="E15" i="19"/>
  <c r="J13" i="19"/>
  <c r="I13" i="19"/>
  <c r="H13" i="19"/>
  <c r="G13" i="19"/>
  <c r="F13" i="19"/>
  <c r="E13" i="19"/>
  <c r="J12" i="19"/>
  <c r="I12" i="19"/>
  <c r="H12" i="19"/>
  <c r="G12" i="19"/>
  <c r="F12" i="19"/>
  <c r="E12" i="19"/>
  <c r="J11" i="19"/>
  <c r="I11" i="19"/>
  <c r="H11" i="19"/>
  <c r="G11" i="19"/>
  <c r="F11" i="19"/>
  <c r="E11" i="19"/>
  <c r="I10" i="19"/>
  <c r="H10" i="19"/>
  <c r="G10" i="19"/>
  <c r="F10" i="19"/>
  <c r="E10" i="19"/>
  <c r="J9" i="19"/>
  <c r="H9" i="19"/>
  <c r="G9" i="19"/>
  <c r="F9" i="19"/>
  <c r="E9" i="19"/>
  <c r="J8" i="19"/>
  <c r="I8" i="19"/>
  <c r="H8" i="19"/>
  <c r="D26" i="19"/>
  <c r="D25" i="19"/>
  <c r="D24" i="19"/>
  <c r="D23" i="19"/>
  <c r="D22" i="19"/>
  <c r="D21" i="19"/>
  <c r="D14" i="19"/>
  <c r="D20" i="19"/>
  <c r="D19" i="19"/>
  <c r="D18" i="19"/>
  <c r="D17" i="19"/>
  <c r="D16" i="19"/>
  <c r="D15" i="19"/>
  <c r="D13" i="19"/>
  <c r="D12" i="19"/>
  <c r="D11" i="19"/>
  <c r="D10" i="19"/>
  <c r="D9" i="19"/>
  <c r="D8" i="19"/>
  <c r="D7" i="19"/>
  <c r="O7" i="36" l="1"/>
  <c r="O9" i="36"/>
  <c r="O17" i="36"/>
  <c r="O23" i="36"/>
  <c r="O25" i="36"/>
  <c r="O22" i="36"/>
  <c r="O8" i="36"/>
  <c r="O16" i="36"/>
  <c r="O10" i="36"/>
  <c r="O18" i="36"/>
  <c r="O11" i="36"/>
  <c r="O19" i="36"/>
  <c r="O27" i="36"/>
  <c r="O12" i="36"/>
  <c r="O20" i="36"/>
  <c r="O28" i="36"/>
  <c r="O13" i="36"/>
  <c r="O21" i="36"/>
  <c r="J10" i="19" s="1"/>
  <c r="O29" i="36"/>
  <c r="O14" i="36"/>
  <c r="O30" i="36"/>
  <c r="O15" i="36"/>
  <c r="J7" i="19"/>
  <c r="O9" i="33"/>
  <c r="O17" i="33"/>
  <c r="O25" i="33"/>
  <c r="O10" i="33"/>
  <c r="O18" i="33"/>
  <c r="O26" i="33"/>
  <c r="O11" i="33"/>
  <c r="O19" i="33"/>
  <c r="O27" i="33"/>
  <c r="O12" i="33"/>
  <c r="O20" i="33"/>
  <c r="O28" i="33"/>
  <c r="O13" i="33"/>
  <c r="O21" i="33"/>
  <c r="O29" i="33"/>
  <c r="O14" i="33"/>
  <c r="O22" i="33"/>
  <c r="O30" i="33"/>
  <c r="O7" i="33"/>
  <c r="H7" i="19" s="1"/>
  <c r="O15" i="33"/>
  <c r="O23" i="33"/>
  <c r="O9" i="32"/>
  <c r="O17" i="32"/>
  <c r="O25" i="32"/>
  <c r="O10" i="32"/>
  <c r="O18" i="32"/>
  <c r="O26" i="32"/>
  <c r="O11" i="32"/>
  <c r="O19" i="32"/>
  <c r="O27" i="32"/>
  <c r="O12" i="32"/>
  <c r="O20" i="32"/>
  <c r="O28" i="32"/>
  <c r="O13" i="32"/>
  <c r="O21" i="32"/>
  <c r="G7" i="19" s="1"/>
  <c r="O29" i="32"/>
  <c r="O14" i="32"/>
  <c r="O22" i="32"/>
  <c r="O30" i="32"/>
  <c r="O7" i="32"/>
  <c r="G8" i="19" s="1"/>
  <c r="O15" i="32"/>
  <c r="O23" i="32"/>
  <c r="O8" i="30"/>
  <c r="O16" i="30"/>
  <c r="O24" i="30"/>
  <c r="O10" i="30"/>
  <c r="O18" i="30"/>
  <c r="O26" i="30"/>
  <c r="O11" i="30"/>
  <c r="O19" i="30"/>
  <c r="O27" i="30"/>
  <c r="O12" i="30"/>
  <c r="O20" i="30"/>
  <c r="O28" i="30"/>
  <c r="O13" i="30"/>
  <c r="O21" i="30"/>
  <c r="O29" i="30"/>
  <c r="O14" i="30"/>
  <c r="O22" i="30"/>
  <c r="O30" i="30"/>
  <c r="O7" i="30"/>
  <c r="F8" i="19" s="1"/>
  <c r="O15" i="30"/>
  <c r="O23" i="30"/>
  <c r="O10" i="27"/>
  <c r="O8" i="27"/>
  <c r="E8" i="19" s="1"/>
  <c r="O17" i="27"/>
  <c r="O7" i="27"/>
  <c r="O22" i="27" s="1"/>
  <c r="O16" i="27"/>
  <c r="O15" i="27"/>
  <c r="O14" i="27"/>
  <c r="O13" i="27"/>
  <c r="O12" i="27"/>
  <c r="O19" i="27"/>
  <c r="O11" i="27"/>
  <c r="O9" i="27"/>
  <c r="O18" i="27"/>
  <c r="X7" i="35" l="1"/>
  <c r="I7" i="35" s="1"/>
  <c r="D8" i="35" l="1"/>
  <c r="D9" i="35"/>
  <c r="D10" i="35"/>
  <c r="D11" i="35"/>
  <c r="D12" i="35"/>
  <c r="D13" i="35"/>
  <c r="D14" i="35"/>
  <c r="D15" i="35"/>
  <c r="D16" i="35"/>
  <c r="D17" i="35"/>
  <c r="D18" i="35"/>
  <c r="D19" i="35"/>
  <c r="D20" i="35"/>
  <c r="D21" i="35"/>
  <c r="D27" i="35"/>
  <c r="D28" i="35"/>
  <c r="D29" i="35"/>
  <c r="D30" i="35"/>
  <c r="D31" i="35"/>
  <c r="D8" i="36"/>
  <c r="D9" i="36"/>
  <c r="D10" i="36"/>
  <c r="D11" i="36"/>
  <c r="D12" i="36"/>
  <c r="D13" i="36"/>
  <c r="D14" i="36"/>
  <c r="D15" i="36"/>
  <c r="D16" i="36"/>
  <c r="D17" i="36"/>
  <c r="D18" i="36"/>
  <c r="D19" i="36"/>
  <c r="D20" i="36"/>
  <c r="D21" i="36"/>
  <c r="D7" i="36"/>
  <c r="D7" i="35"/>
  <c r="D8" i="33"/>
  <c r="D9" i="33"/>
  <c r="D10" i="33"/>
  <c r="D11" i="33"/>
  <c r="D12" i="33"/>
  <c r="D13" i="33"/>
  <c r="D14" i="33"/>
  <c r="D15" i="33"/>
  <c r="D16" i="33"/>
  <c r="D17" i="33"/>
  <c r="D18" i="33"/>
  <c r="D19" i="33"/>
  <c r="D20" i="33"/>
  <c r="D21" i="33"/>
  <c r="D22" i="33"/>
  <c r="D23" i="33"/>
  <c r="D24" i="33"/>
  <c r="D25" i="33"/>
  <c r="D26" i="33"/>
  <c r="D27" i="33"/>
  <c r="D28" i="33"/>
  <c r="D29" i="33"/>
  <c r="D30" i="33"/>
  <c r="D31" i="33"/>
  <c r="D7" i="33"/>
  <c r="D8" i="32"/>
  <c r="D9" i="32"/>
  <c r="D10" i="32"/>
  <c r="D11" i="32"/>
  <c r="D12" i="32"/>
  <c r="D13" i="32"/>
  <c r="D14" i="32"/>
  <c r="D15" i="32"/>
  <c r="D16" i="32"/>
  <c r="D17" i="32"/>
  <c r="D18" i="32"/>
  <c r="D19" i="32"/>
  <c r="D20" i="32"/>
  <c r="D21" i="32"/>
  <c r="D22" i="32"/>
  <c r="D23" i="32"/>
  <c r="D24" i="32"/>
  <c r="D25" i="32"/>
  <c r="D26" i="32"/>
  <c r="D27" i="32"/>
  <c r="D28" i="32"/>
  <c r="D29" i="32"/>
  <c r="D30" i="32"/>
  <c r="D31" i="32"/>
  <c r="D7" i="32"/>
  <c r="D8" i="30"/>
  <c r="D9" i="30"/>
  <c r="D10" i="30"/>
  <c r="D11" i="30"/>
  <c r="D12" i="30"/>
  <c r="D13" i="30"/>
  <c r="D14" i="30"/>
  <c r="D15" i="30"/>
  <c r="D16" i="30"/>
  <c r="D17" i="30"/>
  <c r="D18" i="30"/>
  <c r="D19" i="30"/>
  <c r="D20" i="30"/>
  <c r="D21" i="30"/>
  <c r="D22" i="30"/>
  <c r="D23" i="30"/>
  <c r="D24" i="30"/>
  <c r="D25" i="30"/>
  <c r="D26" i="30"/>
  <c r="D27" i="30"/>
  <c r="D28" i="30"/>
  <c r="D29" i="30"/>
  <c r="D30" i="30"/>
  <c r="D31" i="30"/>
  <c r="D7" i="30"/>
  <c r="D8" i="27"/>
  <c r="D10" i="27"/>
  <c r="D7" i="27"/>
  <c r="D16" i="27"/>
  <c r="D11" i="27"/>
  <c r="D15" i="27"/>
  <c r="D14" i="27"/>
  <c r="D13" i="27"/>
  <c r="D12" i="27"/>
  <c r="D19" i="27"/>
  <c r="D17" i="27"/>
  <c r="D18" i="27"/>
  <c r="D20" i="27"/>
  <c r="D21" i="27"/>
  <c r="D22" i="27"/>
  <c r="D23" i="27"/>
  <c r="D24" i="27"/>
  <c r="D25" i="27"/>
  <c r="D26" i="27"/>
  <c r="D27" i="27"/>
  <c r="D28" i="27"/>
  <c r="D29" i="27"/>
  <c r="D30" i="27"/>
  <c r="D31" i="27"/>
  <c r="D9" i="27"/>
  <c r="V8" i="36" l="1"/>
  <c r="W8" i="36"/>
  <c r="I8" i="36" s="1"/>
  <c r="X8" i="36"/>
  <c r="V9" i="36"/>
  <c r="W9" i="36"/>
  <c r="I9" i="36" s="1"/>
  <c r="X9" i="36"/>
  <c r="V10" i="36"/>
  <c r="W10" i="36"/>
  <c r="I10" i="36" s="1"/>
  <c r="X10" i="36"/>
  <c r="V11" i="36"/>
  <c r="W11" i="36"/>
  <c r="I11" i="36" s="1"/>
  <c r="X11" i="36"/>
  <c r="V12" i="36"/>
  <c r="W12" i="36"/>
  <c r="I12" i="36" s="1"/>
  <c r="X12" i="36"/>
  <c r="V13" i="36"/>
  <c r="W13" i="36"/>
  <c r="I13" i="36" s="1"/>
  <c r="X13" i="36"/>
  <c r="V14" i="36"/>
  <c r="W14" i="36"/>
  <c r="I14" i="36" s="1"/>
  <c r="X14" i="36"/>
  <c r="V15" i="36"/>
  <c r="W15" i="36"/>
  <c r="I15" i="36" s="1"/>
  <c r="X15" i="36"/>
  <c r="V16" i="36"/>
  <c r="W16" i="36"/>
  <c r="I16" i="36" s="1"/>
  <c r="X16" i="36"/>
  <c r="V17" i="36"/>
  <c r="W17" i="36"/>
  <c r="I17" i="36" s="1"/>
  <c r="X17" i="36"/>
  <c r="V18" i="36"/>
  <c r="W18" i="36"/>
  <c r="I18" i="36" s="1"/>
  <c r="X18" i="36"/>
  <c r="V19" i="36"/>
  <c r="W19" i="36"/>
  <c r="I19" i="36" s="1"/>
  <c r="X19" i="36"/>
  <c r="V20" i="36"/>
  <c r="W20" i="36"/>
  <c r="I20" i="36" s="1"/>
  <c r="X20" i="36"/>
  <c r="V21" i="36"/>
  <c r="W21" i="36"/>
  <c r="I21" i="36" s="1"/>
  <c r="X21" i="36"/>
  <c r="V22" i="36"/>
  <c r="W22" i="36"/>
  <c r="I22" i="36" s="1"/>
  <c r="X22" i="36"/>
  <c r="V23" i="36"/>
  <c r="W23" i="36"/>
  <c r="I23" i="36" s="1"/>
  <c r="X23" i="36"/>
  <c r="V24" i="36"/>
  <c r="W24" i="36"/>
  <c r="I24" i="36" s="1"/>
  <c r="X24" i="36"/>
  <c r="V25" i="36"/>
  <c r="W25" i="36"/>
  <c r="I25" i="36" s="1"/>
  <c r="X25" i="36"/>
  <c r="V26" i="36"/>
  <c r="W26" i="36"/>
  <c r="I26" i="36" s="1"/>
  <c r="X26" i="36"/>
  <c r="V27" i="36"/>
  <c r="W27" i="36"/>
  <c r="I27" i="36" s="1"/>
  <c r="X27" i="36"/>
  <c r="V28" i="36"/>
  <c r="W28" i="36"/>
  <c r="I28" i="36" s="1"/>
  <c r="X28" i="36"/>
  <c r="V29" i="36"/>
  <c r="W29" i="36"/>
  <c r="I29" i="36" s="1"/>
  <c r="X29" i="36"/>
  <c r="V30" i="36"/>
  <c r="W30" i="36"/>
  <c r="I30" i="36" s="1"/>
  <c r="X30" i="36"/>
  <c r="V31" i="36"/>
  <c r="W31" i="36"/>
  <c r="I31" i="36" s="1"/>
  <c r="X31" i="36"/>
  <c r="X7" i="36"/>
  <c r="V7" i="36"/>
  <c r="W7" i="36"/>
  <c r="I7" i="36" s="1"/>
  <c r="V31" i="35"/>
  <c r="W31" i="35"/>
  <c r="X31" i="35"/>
  <c r="I31" i="35" s="1"/>
  <c r="V8" i="35"/>
  <c r="W8" i="35"/>
  <c r="X8" i="35"/>
  <c r="I8" i="35" s="1"/>
  <c r="V9" i="35"/>
  <c r="W9" i="35"/>
  <c r="X9" i="35"/>
  <c r="I9" i="35" s="1"/>
  <c r="V10" i="35"/>
  <c r="W10" i="35"/>
  <c r="X10" i="35"/>
  <c r="I10" i="35" s="1"/>
  <c r="V11" i="35"/>
  <c r="W11" i="35"/>
  <c r="X11" i="35"/>
  <c r="I11" i="35" s="1"/>
  <c r="V12" i="35"/>
  <c r="W12" i="35"/>
  <c r="X12" i="35"/>
  <c r="I12" i="35" s="1"/>
  <c r="V13" i="35"/>
  <c r="W13" i="35"/>
  <c r="X13" i="35"/>
  <c r="I13" i="35" s="1"/>
  <c r="V14" i="35"/>
  <c r="W14" i="35"/>
  <c r="X14" i="35"/>
  <c r="I14" i="35" s="1"/>
  <c r="V15" i="35"/>
  <c r="W15" i="35"/>
  <c r="X15" i="35"/>
  <c r="I15" i="35" s="1"/>
  <c r="V16" i="35"/>
  <c r="W16" i="35"/>
  <c r="X16" i="35"/>
  <c r="I16" i="35" s="1"/>
  <c r="V17" i="35"/>
  <c r="W17" i="35"/>
  <c r="X17" i="35"/>
  <c r="I17" i="35" s="1"/>
  <c r="V18" i="35"/>
  <c r="W18" i="35"/>
  <c r="X18" i="35"/>
  <c r="I18" i="35" s="1"/>
  <c r="V19" i="35"/>
  <c r="W19" i="35"/>
  <c r="X19" i="35"/>
  <c r="I19" i="35" s="1"/>
  <c r="V20" i="35"/>
  <c r="W20" i="35"/>
  <c r="X20" i="35"/>
  <c r="I20" i="35" s="1"/>
  <c r="V21" i="35"/>
  <c r="W21" i="35"/>
  <c r="X21" i="35"/>
  <c r="I21" i="35" s="1"/>
  <c r="V22" i="35"/>
  <c r="W22" i="35"/>
  <c r="X22" i="35"/>
  <c r="I22" i="35" s="1"/>
  <c r="V23" i="35"/>
  <c r="W23" i="35"/>
  <c r="X23" i="35"/>
  <c r="I23" i="35" s="1"/>
  <c r="V24" i="35"/>
  <c r="W24" i="35"/>
  <c r="X24" i="35"/>
  <c r="I24" i="35" s="1"/>
  <c r="V25" i="35"/>
  <c r="W25" i="35"/>
  <c r="X25" i="35"/>
  <c r="I25" i="35" s="1"/>
  <c r="V26" i="35"/>
  <c r="W26" i="35"/>
  <c r="X26" i="35"/>
  <c r="I26" i="35" s="1"/>
  <c r="V27" i="35"/>
  <c r="W27" i="35"/>
  <c r="X27" i="35"/>
  <c r="I27" i="35" s="1"/>
  <c r="V28" i="35"/>
  <c r="W28" i="35"/>
  <c r="X28" i="35"/>
  <c r="I28" i="35" s="1"/>
  <c r="V29" i="35"/>
  <c r="W29" i="35"/>
  <c r="X29" i="35"/>
  <c r="I29" i="35" s="1"/>
  <c r="V30" i="35"/>
  <c r="W30" i="35"/>
  <c r="X30" i="35"/>
  <c r="I30" i="35" s="1"/>
  <c r="W8" i="33"/>
  <c r="X8" i="33"/>
  <c r="Y8" i="33"/>
  <c r="W9" i="33"/>
  <c r="X9" i="33"/>
  <c r="Y9" i="33"/>
  <c r="W10" i="33"/>
  <c r="X10" i="33"/>
  <c r="Y10" i="33"/>
  <c r="W11" i="33"/>
  <c r="X11" i="33"/>
  <c r="Y11" i="33"/>
  <c r="W12" i="33"/>
  <c r="X12" i="33"/>
  <c r="Y12" i="33"/>
  <c r="W13" i="33"/>
  <c r="X13" i="33"/>
  <c r="Y13" i="33"/>
  <c r="W14" i="33"/>
  <c r="X14" i="33"/>
  <c r="Y14" i="33"/>
  <c r="W15" i="33"/>
  <c r="X15" i="33"/>
  <c r="Y15" i="33"/>
  <c r="W16" i="33"/>
  <c r="X16" i="33"/>
  <c r="Y16" i="33"/>
  <c r="W17" i="33"/>
  <c r="X17" i="33"/>
  <c r="Y17" i="33"/>
  <c r="W18" i="33"/>
  <c r="X18" i="33"/>
  <c r="Y18" i="33"/>
  <c r="W19" i="33"/>
  <c r="X19" i="33"/>
  <c r="Y19" i="33"/>
  <c r="W20" i="33"/>
  <c r="X20" i="33"/>
  <c r="Y20" i="33"/>
  <c r="W21" i="33"/>
  <c r="X21" i="33"/>
  <c r="Y21" i="33"/>
  <c r="W22" i="33"/>
  <c r="X22" i="33"/>
  <c r="Y22" i="33"/>
  <c r="W23" i="33"/>
  <c r="X23" i="33"/>
  <c r="Y23" i="33"/>
  <c r="W24" i="33"/>
  <c r="X24" i="33"/>
  <c r="Y24" i="33"/>
  <c r="W25" i="33"/>
  <c r="X25" i="33"/>
  <c r="Y25" i="33"/>
  <c r="W26" i="33"/>
  <c r="X26" i="33"/>
  <c r="Y26" i="33"/>
  <c r="W27" i="33"/>
  <c r="X27" i="33"/>
  <c r="Y27" i="33"/>
  <c r="W28" i="33"/>
  <c r="X28" i="33"/>
  <c r="Y28" i="33"/>
  <c r="W29" i="33"/>
  <c r="X29" i="33"/>
  <c r="Y29" i="33"/>
  <c r="W30" i="33"/>
  <c r="X30" i="33"/>
  <c r="Y30" i="33"/>
  <c r="W31" i="33"/>
  <c r="X31" i="33"/>
  <c r="Y31" i="33"/>
  <c r="W8" i="32"/>
  <c r="X8" i="32"/>
  <c r="Y8" i="32"/>
  <c r="W9" i="32"/>
  <c r="X9" i="32"/>
  <c r="Y9" i="32"/>
  <c r="W10" i="32"/>
  <c r="X10" i="32"/>
  <c r="Y10" i="32"/>
  <c r="W11" i="32"/>
  <c r="X11" i="32"/>
  <c r="Y11" i="32"/>
  <c r="W12" i="32"/>
  <c r="X12" i="32"/>
  <c r="Y12" i="32"/>
  <c r="W13" i="32"/>
  <c r="X13" i="32"/>
  <c r="Y13" i="32"/>
  <c r="W14" i="32"/>
  <c r="X14" i="32"/>
  <c r="Y14" i="32"/>
  <c r="W15" i="32"/>
  <c r="X15" i="32"/>
  <c r="Y15" i="32"/>
  <c r="W16" i="32"/>
  <c r="X16" i="32"/>
  <c r="Y16" i="32"/>
  <c r="W17" i="32"/>
  <c r="X17" i="32"/>
  <c r="Y17" i="32"/>
  <c r="W18" i="32"/>
  <c r="X18" i="32"/>
  <c r="Y18" i="32"/>
  <c r="W19" i="32"/>
  <c r="X19" i="32"/>
  <c r="Y19" i="32"/>
  <c r="W20" i="32"/>
  <c r="X20" i="32"/>
  <c r="Y20" i="32"/>
  <c r="W21" i="32"/>
  <c r="X21" i="32"/>
  <c r="Y21" i="32"/>
  <c r="W22" i="32"/>
  <c r="X22" i="32"/>
  <c r="Y22" i="32"/>
  <c r="W23" i="32"/>
  <c r="X23" i="32"/>
  <c r="Y23" i="32"/>
  <c r="W24" i="32"/>
  <c r="X24" i="32"/>
  <c r="Y24" i="32"/>
  <c r="W25" i="32"/>
  <c r="X25" i="32"/>
  <c r="Y25" i="32"/>
  <c r="W26" i="32"/>
  <c r="X26" i="32"/>
  <c r="Y26" i="32"/>
  <c r="W27" i="32"/>
  <c r="X27" i="32"/>
  <c r="Y27" i="32"/>
  <c r="W28" i="32"/>
  <c r="X28" i="32"/>
  <c r="Y28" i="32"/>
  <c r="W29" i="32"/>
  <c r="X29" i="32"/>
  <c r="Y29" i="32"/>
  <c r="W30" i="32"/>
  <c r="X30" i="32"/>
  <c r="Y30" i="32"/>
  <c r="W31" i="32"/>
  <c r="X31" i="32"/>
  <c r="Y31" i="32"/>
  <c r="W8" i="30"/>
  <c r="X8" i="30"/>
  <c r="Y8" i="30"/>
  <c r="W9" i="30"/>
  <c r="X9" i="30"/>
  <c r="Y9" i="30"/>
  <c r="W10" i="30"/>
  <c r="X10" i="30"/>
  <c r="Y10" i="30"/>
  <c r="W11" i="30"/>
  <c r="X11" i="30"/>
  <c r="Y11" i="30"/>
  <c r="W12" i="30"/>
  <c r="X12" i="30"/>
  <c r="Y12" i="30"/>
  <c r="W13" i="30"/>
  <c r="X13" i="30"/>
  <c r="Y13" i="30"/>
  <c r="W14" i="30"/>
  <c r="X14" i="30"/>
  <c r="Y14" i="30"/>
  <c r="W15" i="30"/>
  <c r="X15" i="30"/>
  <c r="Y15" i="30"/>
  <c r="W16" i="30"/>
  <c r="X16" i="30"/>
  <c r="Y16" i="30"/>
  <c r="W17" i="30"/>
  <c r="X17" i="30"/>
  <c r="Y17" i="30"/>
  <c r="W18" i="30"/>
  <c r="X18" i="30"/>
  <c r="Y18" i="30"/>
  <c r="W19" i="30"/>
  <c r="X19" i="30"/>
  <c r="Y19" i="30"/>
  <c r="W20" i="30"/>
  <c r="X20" i="30"/>
  <c r="Y20" i="30"/>
  <c r="W21" i="30"/>
  <c r="X21" i="30"/>
  <c r="Y21" i="30"/>
  <c r="W22" i="30"/>
  <c r="X22" i="30"/>
  <c r="Y22" i="30"/>
  <c r="W23" i="30"/>
  <c r="X23" i="30"/>
  <c r="Y23" i="30"/>
  <c r="W24" i="30"/>
  <c r="X24" i="30"/>
  <c r="Y24" i="30"/>
  <c r="W25" i="30"/>
  <c r="X25" i="30"/>
  <c r="Y25" i="30"/>
  <c r="W26" i="30"/>
  <c r="X26" i="30"/>
  <c r="Y26" i="30"/>
  <c r="W27" i="30"/>
  <c r="X27" i="30"/>
  <c r="Y27" i="30"/>
  <c r="W28" i="30"/>
  <c r="X28" i="30"/>
  <c r="Y28" i="30"/>
  <c r="W29" i="30"/>
  <c r="X29" i="30"/>
  <c r="Y29" i="30"/>
  <c r="W30" i="30"/>
  <c r="X30" i="30"/>
  <c r="Y30" i="30"/>
  <c r="W31" i="30"/>
  <c r="X31" i="30"/>
  <c r="Y31" i="30"/>
  <c r="W12" i="27" l="1"/>
  <c r="X12" i="27"/>
  <c r="Y12" i="27"/>
  <c r="W13" i="27"/>
  <c r="X13" i="27"/>
  <c r="Y13" i="27"/>
  <c r="W14" i="27"/>
  <c r="X14" i="27"/>
  <c r="Y14" i="27"/>
  <c r="W15" i="27"/>
  <c r="X15" i="27"/>
  <c r="I13" i="27" s="1"/>
  <c r="Y15" i="27"/>
  <c r="W16" i="27"/>
  <c r="X16" i="27"/>
  <c r="Y16" i="27"/>
  <c r="W17" i="27"/>
  <c r="X17" i="27"/>
  <c r="Y17" i="27"/>
  <c r="W18" i="27"/>
  <c r="X18" i="27"/>
  <c r="Y18" i="27"/>
  <c r="W19" i="27"/>
  <c r="X19" i="27"/>
  <c r="I18" i="27" s="1"/>
  <c r="Y19" i="27"/>
  <c r="W20" i="27"/>
  <c r="X20" i="27"/>
  <c r="I20" i="27" s="1"/>
  <c r="Y20" i="27"/>
  <c r="W21" i="27"/>
  <c r="X21" i="27"/>
  <c r="I21" i="27" s="1"/>
  <c r="Y21" i="27"/>
  <c r="W22" i="27"/>
  <c r="X22" i="27"/>
  <c r="Y22" i="27"/>
  <c r="W23" i="27"/>
  <c r="X23" i="27"/>
  <c r="I23" i="27" s="1"/>
  <c r="Y23" i="27"/>
  <c r="W24" i="27"/>
  <c r="X24" i="27"/>
  <c r="I24" i="27" s="1"/>
  <c r="Y24" i="27"/>
  <c r="W25" i="27"/>
  <c r="X25" i="27"/>
  <c r="I25" i="27" s="1"/>
  <c r="Y25" i="27"/>
  <c r="W26" i="27"/>
  <c r="X26" i="27"/>
  <c r="I26" i="27" s="1"/>
  <c r="Y26" i="27"/>
  <c r="W27" i="27"/>
  <c r="X27" i="27"/>
  <c r="I27" i="27" s="1"/>
  <c r="Y27" i="27"/>
  <c r="W28" i="27"/>
  <c r="X28" i="27"/>
  <c r="I28" i="27" s="1"/>
  <c r="Y28" i="27"/>
  <c r="W29" i="27"/>
  <c r="X29" i="27"/>
  <c r="I29" i="27" s="1"/>
  <c r="Y29" i="27"/>
  <c r="W30" i="27"/>
  <c r="X30" i="27"/>
  <c r="I30" i="27" s="1"/>
  <c r="Y30" i="27"/>
  <c r="W31" i="27"/>
  <c r="X31" i="27"/>
  <c r="I31" i="27" s="1"/>
  <c r="Y31" i="27"/>
  <c r="I12" i="27" l="1"/>
  <c r="I15" i="27"/>
  <c r="I17" i="27"/>
  <c r="I14" i="27"/>
  <c r="I19" i="27"/>
  <c r="W7" i="35"/>
  <c r="V7" i="35"/>
  <c r="X7" i="33"/>
  <c r="Y7" i="33"/>
  <c r="W7" i="33"/>
  <c r="Y7" i="32"/>
  <c r="X7" i="32"/>
  <c r="W7" i="32"/>
  <c r="Y7" i="30"/>
  <c r="X7" i="30"/>
  <c r="W7" i="30"/>
  <c r="Y8" i="27"/>
  <c r="Y9" i="27"/>
  <c r="Y10" i="27"/>
  <c r="Y11" i="27"/>
  <c r="I11" i="27" s="1"/>
  <c r="X8" i="27"/>
  <c r="X9" i="27"/>
  <c r="X10" i="27"/>
  <c r="X11" i="27"/>
  <c r="I16" i="27" s="1"/>
  <c r="W8" i="27"/>
  <c r="W9" i="27"/>
  <c r="W10" i="27"/>
  <c r="W11" i="27"/>
  <c r="W7" i="27"/>
  <c r="Y7" i="27"/>
  <c r="X7" i="27"/>
  <c r="I10" i="27" l="1"/>
  <c r="I9" i="27"/>
  <c r="I7" i="27"/>
  <c r="I8" i="27"/>
  <c r="AU3" i="37"/>
  <c r="AL3" i="37"/>
  <c r="X2" i="33"/>
  <c r="AC3" i="37"/>
  <c r="W2" i="33" s="1"/>
  <c r="T3" i="37"/>
  <c r="K3" i="37"/>
  <c r="B3" i="37"/>
  <c r="K26" i="19" l="1"/>
  <c r="H26" i="36"/>
  <c r="H25" i="36"/>
  <c r="H24" i="36"/>
  <c r="H23" i="36"/>
  <c r="H22" i="36"/>
  <c r="H21" i="36"/>
  <c r="H20" i="36"/>
  <c r="H19" i="36"/>
  <c r="H18" i="36"/>
  <c r="H17" i="36"/>
  <c r="H16" i="36"/>
  <c r="H15" i="36"/>
  <c r="H14" i="36"/>
  <c r="H13" i="36"/>
  <c r="H12" i="36"/>
  <c r="H26" i="35"/>
  <c r="H25" i="35"/>
  <c r="H24" i="35"/>
  <c r="H23" i="35"/>
  <c r="H22" i="35"/>
  <c r="H21" i="35"/>
  <c r="H20" i="35"/>
  <c r="H19" i="35"/>
  <c r="H18" i="35"/>
  <c r="H17" i="35"/>
  <c r="H26" i="32"/>
  <c r="H25" i="32"/>
  <c r="H24" i="32"/>
  <c r="H23" i="32"/>
  <c r="H22" i="32"/>
  <c r="H21" i="32"/>
  <c r="H20" i="32"/>
  <c r="H19" i="32"/>
  <c r="H18" i="32"/>
  <c r="H17" i="32"/>
  <c r="H16" i="32"/>
  <c r="H15" i="32"/>
  <c r="H14" i="32"/>
  <c r="H13" i="32"/>
  <c r="H12" i="32"/>
  <c r="E26" i="32"/>
  <c r="E25" i="32"/>
  <c r="E24" i="32"/>
  <c r="E23" i="32"/>
  <c r="E22" i="32"/>
  <c r="E21" i="32"/>
  <c r="E20" i="32"/>
  <c r="E19" i="32"/>
  <c r="E18" i="32"/>
  <c r="E17" i="32"/>
  <c r="E16" i="32"/>
  <c r="E15" i="32"/>
  <c r="E14" i="32"/>
  <c r="E13" i="32"/>
  <c r="E12" i="32"/>
  <c r="H26" i="30"/>
  <c r="H25" i="30"/>
  <c r="H24" i="30"/>
  <c r="H23" i="30"/>
  <c r="H22" i="30"/>
  <c r="H21" i="30"/>
  <c r="H20" i="30"/>
  <c r="H19" i="30"/>
  <c r="H18" i="30"/>
  <c r="H17" i="30"/>
  <c r="E26" i="30"/>
  <c r="E25" i="30"/>
  <c r="E24" i="30"/>
  <c r="E23" i="30"/>
  <c r="E22" i="30"/>
  <c r="E21" i="30"/>
  <c r="E20" i="30"/>
  <c r="E19" i="30"/>
  <c r="E18" i="30"/>
  <c r="E17" i="30"/>
  <c r="H23" i="27"/>
  <c r="H22" i="27"/>
  <c r="H21" i="27"/>
  <c r="H20" i="27"/>
  <c r="H18" i="27"/>
  <c r="H17" i="27"/>
  <c r="H19" i="27"/>
  <c r="H12" i="27"/>
  <c r="H13" i="27"/>
  <c r="H14" i="27"/>
  <c r="H15" i="27"/>
  <c r="H11" i="27"/>
  <c r="N20" i="27" s="1"/>
  <c r="N21" i="27" l="1"/>
  <c r="N23" i="27"/>
  <c r="N19" i="27"/>
  <c r="N14" i="27"/>
  <c r="N17" i="27"/>
  <c r="N22" i="27"/>
  <c r="N13" i="27"/>
  <c r="N18" i="27"/>
  <c r="K21" i="19" l="1"/>
  <c r="K22" i="19"/>
  <c r="K25" i="19"/>
  <c r="K14" i="19"/>
  <c r="K24" i="19"/>
  <c r="K16" i="19"/>
  <c r="K23" i="19"/>
  <c r="K12" i="19"/>
  <c r="K19" i="19"/>
  <c r="K15" i="19"/>
  <c r="K11" i="19"/>
  <c r="K20" i="19"/>
  <c r="K13" i="19"/>
  <c r="K17" i="19"/>
  <c r="K10" i="19"/>
  <c r="K18" i="19"/>
  <c r="K8" i="19"/>
  <c r="K9" i="19"/>
  <c r="H22" i="33"/>
  <c r="H21" i="33"/>
  <c r="H20" i="33"/>
  <c r="D2" i="27" l="1"/>
  <c r="H16" i="35" l="1"/>
  <c r="H9" i="35"/>
  <c r="H10" i="35"/>
  <c r="H19" i="33" l="1"/>
  <c r="H17" i="33"/>
  <c r="Q20" i="20" l="1"/>
  <c r="N3" i="35"/>
  <c r="T15" i="33"/>
  <c r="U15" i="33"/>
  <c r="V15" i="33"/>
  <c r="T16" i="33"/>
  <c r="U16" i="33"/>
  <c r="V16" i="33"/>
  <c r="T17" i="33"/>
  <c r="U17" i="33"/>
  <c r="V17" i="33"/>
  <c r="N26" i="35" l="1"/>
  <c r="N24" i="35"/>
  <c r="N22" i="35"/>
  <c r="N19" i="35"/>
  <c r="N17" i="35"/>
  <c r="N25" i="35"/>
  <c r="N23" i="35"/>
  <c r="N18" i="35"/>
  <c r="N20" i="35"/>
  <c r="K17" i="35"/>
  <c r="K18" i="35"/>
  <c r="K26" i="35"/>
  <c r="K19" i="35"/>
  <c r="K20" i="35"/>
  <c r="N21" i="35"/>
  <c r="K22" i="35"/>
  <c r="K21" i="35"/>
  <c r="K23" i="35"/>
  <c r="K25" i="35"/>
  <c r="K24" i="35"/>
  <c r="N20" i="30"/>
  <c r="N18" i="30"/>
  <c r="N26" i="30"/>
  <c r="N24" i="30"/>
  <c r="N22" i="30"/>
  <c r="N19" i="30"/>
  <c r="N17" i="30"/>
  <c r="N25" i="30"/>
  <c r="N23" i="30"/>
  <c r="K25" i="30"/>
  <c r="K26" i="30"/>
  <c r="K21" i="30"/>
  <c r="N21" i="30"/>
  <c r="K23" i="30"/>
  <c r="K22" i="30"/>
  <c r="K19" i="30"/>
  <c r="K18" i="30"/>
  <c r="K20" i="30"/>
  <c r="K17" i="30"/>
  <c r="K24" i="30"/>
  <c r="N22" i="36"/>
  <c r="N24" i="36"/>
  <c r="N19" i="36"/>
  <c r="N17" i="36"/>
  <c r="N15" i="36"/>
  <c r="N13" i="36"/>
  <c r="K17" i="36"/>
  <c r="N25" i="36"/>
  <c r="N18" i="36"/>
  <c r="N14" i="36"/>
  <c r="N12" i="36"/>
  <c r="K12" i="36"/>
  <c r="N20" i="36"/>
  <c r="K13" i="36"/>
  <c r="K26" i="36"/>
  <c r="K19" i="36"/>
  <c r="K15" i="36"/>
  <c r="K24" i="36"/>
  <c r="K21" i="36"/>
  <c r="N26" i="36"/>
  <c r="K18" i="36"/>
  <c r="K20" i="36"/>
  <c r="K23" i="36"/>
  <c r="K16" i="36"/>
  <c r="K22" i="36"/>
  <c r="N21" i="36"/>
  <c r="K14" i="36"/>
  <c r="N16" i="36"/>
  <c r="K25" i="36"/>
  <c r="N23" i="36"/>
  <c r="Z17" i="2"/>
  <c r="P20" i="20" s="1"/>
  <c r="Y17" i="2"/>
  <c r="U31" i="36" l="1"/>
  <c r="T31" i="36"/>
  <c r="S31" i="36"/>
  <c r="H31" i="36"/>
  <c r="U30" i="36"/>
  <c r="T30" i="36"/>
  <c r="S30" i="36"/>
  <c r="U29" i="36"/>
  <c r="T29" i="36"/>
  <c r="S29" i="36"/>
  <c r="U28" i="36"/>
  <c r="T28" i="36"/>
  <c r="S28" i="36"/>
  <c r="U27" i="36"/>
  <c r="T27" i="36"/>
  <c r="S27" i="36"/>
  <c r="H27" i="36"/>
  <c r="U26" i="36"/>
  <c r="T26" i="36"/>
  <c r="S26" i="36"/>
  <c r="U25" i="36"/>
  <c r="T25" i="36"/>
  <c r="S25" i="36"/>
  <c r="U24" i="36"/>
  <c r="T24" i="36"/>
  <c r="S24" i="36"/>
  <c r="U23" i="36"/>
  <c r="T23" i="36"/>
  <c r="S23" i="36"/>
  <c r="U22" i="36"/>
  <c r="T22" i="36"/>
  <c r="S22" i="36"/>
  <c r="U21" i="36"/>
  <c r="T21" i="36"/>
  <c r="S21" i="36"/>
  <c r="U20" i="36"/>
  <c r="T20" i="36"/>
  <c r="S20" i="36"/>
  <c r="U19" i="36"/>
  <c r="E19" i="36" s="1"/>
  <c r="T19" i="36"/>
  <c r="S19" i="36"/>
  <c r="U18" i="36"/>
  <c r="E18" i="36" s="1"/>
  <c r="T18" i="36"/>
  <c r="S18" i="36"/>
  <c r="U17" i="36"/>
  <c r="T17" i="36"/>
  <c r="S17" i="36"/>
  <c r="U16" i="36"/>
  <c r="T16" i="36"/>
  <c r="S16" i="36"/>
  <c r="U15" i="36"/>
  <c r="T15" i="36"/>
  <c r="S15" i="36"/>
  <c r="U14" i="36"/>
  <c r="T14" i="36"/>
  <c r="S14" i="36"/>
  <c r="U13" i="36"/>
  <c r="T13" i="36"/>
  <c r="S13" i="36"/>
  <c r="H11" i="36"/>
  <c r="U12" i="36"/>
  <c r="T12" i="36"/>
  <c r="S12" i="36"/>
  <c r="U11" i="36"/>
  <c r="T11" i="36"/>
  <c r="S11" i="36"/>
  <c r="U10" i="36"/>
  <c r="T10" i="36"/>
  <c r="S10" i="36"/>
  <c r="H10" i="36"/>
  <c r="U9" i="36"/>
  <c r="T9" i="36"/>
  <c r="S9" i="36"/>
  <c r="H9" i="36"/>
  <c r="U8" i="36"/>
  <c r="T8" i="36"/>
  <c r="S8" i="36"/>
  <c r="H7" i="36"/>
  <c r="U7" i="36"/>
  <c r="T7" i="36"/>
  <c r="S7" i="36"/>
  <c r="H8" i="36"/>
  <c r="N31" i="36"/>
  <c r="D2" i="36"/>
  <c r="T31" i="35"/>
  <c r="S31" i="35"/>
  <c r="H31" i="35"/>
  <c r="N31" i="35" s="1"/>
  <c r="T30" i="35"/>
  <c r="S30" i="35"/>
  <c r="T29" i="35"/>
  <c r="S29" i="35"/>
  <c r="T28" i="35"/>
  <c r="S28" i="35"/>
  <c r="T27" i="35"/>
  <c r="S27" i="35"/>
  <c r="H27" i="35"/>
  <c r="T26" i="35"/>
  <c r="S26" i="35"/>
  <c r="T25" i="35"/>
  <c r="S25" i="35"/>
  <c r="T24" i="35"/>
  <c r="S24" i="35"/>
  <c r="T23" i="35"/>
  <c r="S23" i="35"/>
  <c r="T22" i="35"/>
  <c r="S22" i="35"/>
  <c r="T21" i="35"/>
  <c r="S21" i="35"/>
  <c r="T20" i="35"/>
  <c r="S20" i="35"/>
  <c r="T19" i="35"/>
  <c r="S19" i="35"/>
  <c r="T18" i="35"/>
  <c r="S18" i="35"/>
  <c r="T17" i="35"/>
  <c r="S17" i="35"/>
  <c r="T16" i="35"/>
  <c r="S16" i="35"/>
  <c r="H11" i="35"/>
  <c r="T15" i="35"/>
  <c r="S15" i="35"/>
  <c r="T14" i="35"/>
  <c r="S14" i="35"/>
  <c r="H13" i="35"/>
  <c r="T13" i="35"/>
  <c r="S13" i="35"/>
  <c r="H12" i="35"/>
  <c r="T12" i="35"/>
  <c r="S12" i="35"/>
  <c r="H7" i="35"/>
  <c r="T11" i="35"/>
  <c r="S11" i="35"/>
  <c r="H8" i="35"/>
  <c r="T10" i="35"/>
  <c r="S10" i="35"/>
  <c r="H14" i="35"/>
  <c r="T9" i="35"/>
  <c r="S9" i="35"/>
  <c r="T8" i="35"/>
  <c r="S8" i="35"/>
  <c r="H15" i="35"/>
  <c r="T7" i="35"/>
  <c r="S7" i="35"/>
  <c r="D2" i="35"/>
  <c r="V31" i="33"/>
  <c r="U31" i="33"/>
  <c r="T31" i="33"/>
  <c r="H31" i="33"/>
  <c r="V30" i="33"/>
  <c r="U30" i="33"/>
  <c r="T30" i="33"/>
  <c r="V29" i="33"/>
  <c r="U29" i="33"/>
  <c r="T29" i="33"/>
  <c r="V28" i="33"/>
  <c r="U28" i="33"/>
  <c r="T28" i="33"/>
  <c r="V27" i="33"/>
  <c r="U27" i="33"/>
  <c r="T27" i="33"/>
  <c r="H27" i="33"/>
  <c r="V26" i="33"/>
  <c r="U26" i="33"/>
  <c r="T26" i="33"/>
  <c r="H26" i="33"/>
  <c r="V25" i="33"/>
  <c r="U25" i="33"/>
  <c r="T25" i="33"/>
  <c r="V24" i="33"/>
  <c r="U24" i="33"/>
  <c r="T24" i="33"/>
  <c r="V23" i="33"/>
  <c r="U23" i="33"/>
  <c r="T23" i="33"/>
  <c r="V22" i="33"/>
  <c r="U22" i="33"/>
  <c r="E22" i="33" s="1"/>
  <c r="T22" i="33"/>
  <c r="V21" i="33"/>
  <c r="U21" i="33"/>
  <c r="E21" i="33" s="1"/>
  <c r="T21" i="33"/>
  <c r="V20" i="33"/>
  <c r="U20" i="33"/>
  <c r="E20" i="33" s="1"/>
  <c r="T20" i="33"/>
  <c r="V19" i="33"/>
  <c r="U19" i="33"/>
  <c r="E16" i="33" s="1"/>
  <c r="T19" i="33"/>
  <c r="V18" i="33"/>
  <c r="U18" i="33"/>
  <c r="E15" i="33" s="1"/>
  <c r="T18" i="33"/>
  <c r="H13" i="33"/>
  <c r="H16" i="33"/>
  <c r="H18" i="33"/>
  <c r="V14" i="33"/>
  <c r="U14" i="33"/>
  <c r="T14" i="33"/>
  <c r="H15" i="33"/>
  <c r="V13" i="33"/>
  <c r="U13" i="33"/>
  <c r="T13" i="33"/>
  <c r="H12" i="33"/>
  <c r="V12" i="33"/>
  <c r="U12" i="33"/>
  <c r="T12" i="33"/>
  <c r="H11" i="33"/>
  <c r="V11" i="33"/>
  <c r="U11" i="33"/>
  <c r="T11" i="33"/>
  <c r="H14" i="33"/>
  <c r="V10" i="33"/>
  <c r="U10" i="33"/>
  <c r="T10" i="33"/>
  <c r="H8" i="33"/>
  <c r="V9" i="33"/>
  <c r="U9" i="33"/>
  <c r="T9" i="33"/>
  <c r="H7" i="33"/>
  <c r="V8" i="33"/>
  <c r="U8" i="33"/>
  <c r="T8" i="33"/>
  <c r="H9" i="33"/>
  <c r="V7" i="33"/>
  <c r="U7" i="33"/>
  <c r="T7" i="33"/>
  <c r="H10" i="33"/>
  <c r="N3" i="33"/>
  <c r="D2" i="33"/>
  <c r="V31" i="32"/>
  <c r="U31" i="32"/>
  <c r="T31" i="32"/>
  <c r="H31" i="32"/>
  <c r="V30" i="32"/>
  <c r="U30" i="32"/>
  <c r="T30" i="32"/>
  <c r="V29" i="32"/>
  <c r="U29" i="32"/>
  <c r="T29" i="32"/>
  <c r="V28" i="32"/>
  <c r="U28" i="32"/>
  <c r="T28" i="32"/>
  <c r="V27" i="32"/>
  <c r="U27" i="32"/>
  <c r="T27" i="32"/>
  <c r="H27" i="32"/>
  <c r="V26" i="32"/>
  <c r="U26" i="32"/>
  <c r="T26" i="32"/>
  <c r="V25" i="32"/>
  <c r="U25" i="32"/>
  <c r="T25" i="32"/>
  <c r="V24" i="32"/>
  <c r="U24" i="32"/>
  <c r="T24" i="32"/>
  <c r="V23" i="32"/>
  <c r="U23" i="32"/>
  <c r="T23" i="32"/>
  <c r="V22" i="32"/>
  <c r="U22" i="32"/>
  <c r="T22" i="32"/>
  <c r="V21" i="32"/>
  <c r="U21" i="32"/>
  <c r="T21" i="32"/>
  <c r="V20" i="32"/>
  <c r="U20" i="32"/>
  <c r="T20" i="32"/>
  <c r="V19" i="32"/>
  <c r="U19" i="32"/>
  <c r="T19" i="32"/>
  <c r="V18" i="32"/>
  <c r="U18" i="32"/>
  <c r="T18" i="32"/>
  <c r="V17" i="32"/>
  <c r="U17" i="32"/>
  <c r="T17" i="32"/>
  <c r="V16" i="32"/>
  <c r="U16" i="32"/>
  <c r="T16" i="32"/>
  <c r="V15" i="32"/>
  <c r="U15" i="32"/>
  <c r="T15" i="32"/>
  <c r="V14" i="32"/>
  <c r="U14" i="32"/>
  <c r="T14" i="32"/>
  <c r="H10" i="32"/>
  <c r="V13" i="32"/>
  <c r="U13" i="32"/>
  <c r="T13" i="32"/>
  <c r="V12" i="32"/>
  <c r="U12" i="32"/>
  <c r="T12" i="32"/>
  <c r="V11" i="32"/>
  <c r="U11" i="32"/>
  <c r="T11" i="32"/>
  <c r="V10" i="32"/>
  <c r="U10" i="32"/>
  <c r="T10" i="32"/>
  <c r="H9" i="32"/>
  <c r="V9" i="32"/>
  <c r="U9" i="32"/>
  <c r="T9" i="32"/>
  <c r="H11" i="32"/>
  <c r="V8" i="32"/>
  <c r="U8" i="32"/>
  <c r="T8" i="32"/>
  <c r="H7" i="32"/>
  <c r="V7" i="32"/>
  <c r="U7" i="32"/>
  <c r="T7" i="32"/>
  <c r="H8" i="32"/>
  <c r="N3" i="32"/>
  <c r="D2" i="32"/>
  <c r="V31" i="30"/>
  <c r="U31" i="30"/>
  <c r="T31" i="30"/>
  <c r="H31" i="30"/>
  <c r="V30" i="30"/>
  <c r="U30" i="30"/>
  <c r="T30" i="30"/>
  <c r="V29" i="30"/>
  <c r="U29" i="30"/>
  <c r="T29" i="30"/>
  <c r="V28" i="30"/>
  <c r="U28" i="30"/>
  <c r="T28" i="30"/>
  <c r="V27" i="30"/>
  <c r="U27" i="30"/>
  <c r="T27" i="30"/>
  <c r="H27" i="30"/>
  <c r="V26" i="30"/>
  <c r="U26" i="30"/>
  <c r="T26" i="30"/>
  <c r="V25" i="30"/>
  <c r="U25" i="30"/>
  <c r="T25" i="30"/>
  <c r="V24" i="30"/>
  <c r="U24" i="30"/>
  <c r="T24" i="30"/>
  <c r="V23" i="30"/>
  <c r="U23" i="30"/>
  <c r="T23" i="30"/>
  <c r="V22" i="30"/>
  <c r="U22" i="30"/>
  <c r="T22" i="30"/>
  <c r="V21" i="30"/>
  <c r="U21" i="30"/>
  <c r="T21" i="30"/>
  <c r="V20" i="30"/>
  <c r="U20" i="30"/>
  <c r="T20" i="30"/>
  <c r="V19" i="30"/>
  <c r="U19" i="30"/>
  <c r="T19" i="30"/>
  <c r="V18" i="30"/>
  <c r="U18" i="30"/>
  <c r="T18" i="30"/>
  <c r="V17" i="30"/>
  <c r="U17" i="30"/>
  <c r="T17" i="30"/>
  <c r="H11" i="30"/>
  <c r="V16" i="30"/>
  <c r="U16" i="30"/>
  <c r="T16" i="30"/>
  <c r="H16" i="30"/>
  <c r="V15" i="30"/>
  <c r="U15" i="30"/>
  <c r="T15" i="30"/>
  <c r="H14" i="30"/>
  <c r="V14" i="30"/>
  <c r="U14" i="30"/>
  <c r="T14" i="30"/>
  <c r="V13" i="30"/>
  <c r="U13" i="30"/>
  <c r="T13" i="30"/>
  <c r="H12" i="30"/>
  <c r="V12" i="30"/>
  <c r="U12" i="30"/>
  <c r="T12" i="30"/>
  <c r="H8" i="30"/>
  <c r="V11" i="30"/>
  <c r="U11" i="30"/>
  <c r="T11" i="30"/>
  <c r="H13" i="30"/>
  <c r="V10" i="30"/>
  <c r="U10" i="30"/>
  <c r="T10" i="30"/>
  <c r="H15" i="30"/>
  <c r="V9" i="30"/>
  <c r="U9" i="30"/>
  <c r="T9" i="30"/>
  <c r="H10" i="30"/>
  <c r="V8" i="30"/>
  <c r="U8" i="30"/>
  <c r="T8" i="30"/>
  <c r="H7" i="30"/>
  <c r="V7" i="30"/>
  <c r="U7" i="30"/>
  <c r="T7" i="30"/>
  <c r="H9" i="30"/>
  <c r="D2" i="30"/>
  <c r="E20" i="36" l="1"/>
  <c r="E13" i="36"/>
  <c r="E21" i="36"/>
  <c r="E16" i="36"/>
  <c r="E12" i="36"/>
  <c r="E17" i="36"/>
  <c r="E14" i="36"/>
  <c r="E15" i="36"/>
  <c r="E10" i="33"/>
  <c r="N20" i="32"/>
  <c r="N18" i="32"/>
  <c r="N24" i="32"/>
  <c r="N22" i="32"/>
  <c r="N15" i="32"/>
  <c r="N13" i="32"/>
  <c r="N14" i="32"/>
  <c r="N19" i="32"/>
  <c r="N17" i="32"/>
  <c r="N25" i="32"/>
  <c r="N23" i="32"/>
  <c r="N12" i="32"/>
  <c r="K13" i="32"/>
  <c r="K25" i="32"/>
  <c r="K15" i="32"/>
  <c r="N26" i="32"/>
  <c r="N16" i="32"/>
  <c r="K17" i="32"/>
  <c r="K23" i="32"/>
  <c r="K14" i="32"/>
  <c r="K19" i="32"/>
  <c r="K18" i="32"/>
  <c r="N21" i="32"/>
  <c r="K20" i="32"/>
  <c r="K26" i="32"/>
  <c r="K22" i="32"/>
  <c r="K12" i="32"/>
  <c r="K24" i="32"/>
  <c r="K21" i="32"/>
  <c r="K16" i="32"/>
  <c r="K31" i="32"/>
  <c r="E14" i="33"/>
  <c r="K13" i="33"/>
  <c r="E13" i="33"/>
  <c r="E12" i="33"/>
  <c r="K12" i="33"/>
  <c r="K20" i="33"/>
  <c r="K22" i="33"/>
  <c r="K21" i="33"/>
  <c r="K11" i="32"/>
  <c r="E9" i="32"/>
  <c r="E8" i="32"/>
  <c r="K9" i="32"/>
  <c r="K10" i="32"/>
  <c r="K8" i="32"/>
  <c r="E7" i="32"/>
  <c r="E10" i="32"/>
  <c r="E11" i="32"/>
  <c r="K7" i="32"/>
  <c r="N21" i="33"/>
  <c r="N22" i="33"/>
  <c r="N20" i="33"/>
  <c r="K12" i="35"/>
  <c r="E18" i="35"/>
  <c r="E13" i="35"/>
  <c r="E9" i="35"/>
  <c r="K11" i="35"/>
  <c r="K10" i="35"/>
  <c r="K16" i="35"/>
  <c r="E11" i="35"/>
  <c r="E19" i="35"/>
  <c r="E10" i="35"/>
  <c r="E16" i="35"/>
  <c r="K14" i="35"/>
  <c r="K9" i="35"/>
  <c r="N18" i="33"/>
  <c r="N19" i="33"/>
  <c r="K11" i="33"/>
  <c r="K19" i="33"/>
  <c r="K17" i="33"/>
  <c r="K10" i="33"/>
  <c r="K14" i="33"/>
  <c r="E11" i="33"/>
  <c r="E19" i="33"/>
  <c r="E17" i="33"/>
  <c r="E8" i="36"/>
  <c r="K8" i="36"/>
  <c r="E10" i="36"/>
  <c r="K7" i="36"/>
  <c r="E9" i="36"/>
  <c r="E11" i="36"/>
  <c r="K9" i="36"/>
  <c r="K11" i="36"/>
  <c r="E7" i="36"/>
  <c r="E7" i="35"/>
  <c r="K8" i="35"/>
  <c r="E15" i="35"/>
  <c r="K13" i="35"/>
  <c r="E21" i="35"/>
  <c r="E14" i="35"/>
  <c r="E20" i="35"/>
  <c r="E12" i="35"/>
  <c r="E17" i="35"/>
  <c r="E8" i="35"/>
  <c r="K15" i="35"/>
  <c r="K7" i="35"/>
  <c r="E9" i="33"/>
  <c r="K8" i="33"/>
  <c r="K18" i="33"/>
  <c r="E18" i="33"/>
  <c r="K7" i="33"/>
  <c r="E8" i="33"/>
  <c r="K9" i="33"/>
  <c r="E7" i="33"/>
  <c r="E10" i="30"/>
  <c r="E12" i="30"/>
  <c r="K31" i="30"/>
  <c r="E9" i="30"/>
  <c r="K10" i="30"/>
  <c r="K13" i="30"/>
  <c r="K14" i="30"/>
  <c r="E11" i="30"/>
  <c r="K9" i="30"/>
  <c r="E13" i="30"/>
  <c r="E14" i="30"/>
  <c r="K8" i="30"/>
  <c r="K10" i="36"/>
  <c r="K27" i="36"/>
  <c r="K31" i="35"/>
  <c r="N31" i="33"/>
  <c r="N8" i="36"/>
  <c r="K31" i="36"/>
  <c r="N7" i="35"/>
  <c r="N11" i="35"/>
  <c r="N16" i="35"/>
  <c r="K27" i="35"/>
  <c r="N7" i="36"/>
  <c r="N11" i="36"/>
  <c r="N27" i="36"/>
  <c r="N10" i="35"/>
  <c r="N14" i="35"/>
  <c r="N10" i="36"/>
  <c r="N9" i="36"/>
  <c r="N27" i="35"/>
  <c r="N8" i="35"/>
  <c r="N9" i="35"/>
  <c r="N12" i="35"/>
  <c r="N13" i="35"/>
  <c r="N15" i="35"/>
  <c r="N11" i="33"/>
  <c r="N13" i="33"/>
  <c r="N16" i="33"/>
  <c r="N8" i="33"/>
  <c r="K15" i="33"/>
  <c r="K31" i="33"/>
  <c r="N10" i="33"/>
  <c r="K26" i="33"/>
  <c r="N9" i="33"/>
  <c r="N14" i="33"/>
  <c r="K16" i="33"/>
  <c r="N7" i="33"/>
  <c r="N12" i="33"/>
  <c r="K15" i="30"/>
  <c r="N26" i="33"/>
  <c r="N27" i="33"/>
  <c r="N15" i="33"/>
  <c r="N17" i="33"/>
  <c r="K27" i="33"/>
  <c r="K27" i="32"/>
  <c r="N7" i="32"/>
  <c r="N9" i="32"/>
  <c r="N11" i="32"/>
  <c r="K7" i="30"/>
  <c r="N31" i="32"/>
  <c r="N27" i="32"/>
  <c r="K12" i="30"/>
  <c r="E16" i="30"/>
  <c r="N8" i="32"/>
  <c r="N10" i="32"/>
  <c r="K16" i="30"/>
  <c r="K11" i="30"/>
  <c r="N9" i="30"/>
  <c r="N10" i="30"/>
  <c r="N8" i="30"/>
  <c r="E7" i="30"/>
  <c r="E15" i="30"/>
  <c r="E8" i="30"/>
  <c r="N16" i="30"/>
  <c r="K27" i="30"/>
  <c r="N14" i="30"/>
  <c r="N13" i="30"/>
  <c r="N12" i="30"/>
  <c r="N15" i="30"/>
  <c r="N7" i="30"/>
  <c r="N27" i="30"/>
  <c r="N11" i="30"/>
  <c r="N31" i="30"/>
  <c r="M24" i="35" l="1"/>
  <c r="M19" i="35"/>
  <c r="L24" i="35"/>
  <c r="L17" i="35"/>
  <c r="M17" i="35"/>
  <c r="L25" i="35"/>
  <c r="L23" i="35"/>
  <c r="M23" i="35"/>
  <c r="M25" i="35"/>
  <c r="M18" i="35"/>
  <c r="L22" i="35"/>
  <c r="M26" i="35"/>
  <c r="L18" i="35"/>
  <c r="L26" i="35"/>
  <c r="M20" i="35"/>
  <c r="L19" i="35"/>
  <c r="M22" i="35"/>
  <c r="L20" i="35"/>
  <c r="M21" i="35"/>
  <c r="L21" i="35"/>
  <c r="M24" i="36"/>
  <c r="M22" i="36"/>
  <c r="L12" i="36"/>
  <c r="M15" i="36"/>
  <c r="M25" i="36"/>
  <c r="L15" i="36"/>
  <c r="L19" i="36"/>
  <c r="M12" i="36"/>
  <c r="M17" i="36"/>
  <c r="L25" i="36"/>
  <c r="M13" i="36"/>
  <c r="M14" i="36"/>
  <c r="L22" i="36"/>
  <c r="L17" i="36"/>
  <c r="M23" i="36"/>
  <c r="L13" i="36"/>
  <c r="L24" i="36"/>
  <c r="L23" i="36"/>
  <c r="M19" i="36"/>
  <c r="L14" i="36"/>
  <c r="M21" i="36"/>
  <c r="L18" i="36"/>
  <c r="L21" i="36"/>
  <c r="M18" i="36"/>
  <c r="M16" i="36"/>
  <c r="L16" i="36"/>
  <c r="M26" i="36"/>
  <c r="L26" i="36"/>
  <c r="L20" i="36"/>
  <c r="M20" i="36"/>
  <c r="M17" i="32"/>
  <c r="M22" i="32"/>
  <c r="M24" i="32"/>
  <c r="M19" i="32"/>
  <c r="L22" i="32"/>
  <c r="L17" i="32"/>
  <c r="L12" i="32"/>
  <c r="L19" i="32"/>
  <c r="M25" i="32"/>
  <c r="M20" i="32"/>
  <c r="M15" i="32"/>
  <c r="L25" i="32"/>
  <c r="L20" i="32"/>
  <c r="L15" i="32"/>
  <c r="L24" i="32"/>
  <c r="M23" i="32"/>
  <c r="L18" i="32"/>
  <c r="M13" i="32"/>
  <c r="L23" i="32"/>
  <c r="M18" i="32"/>
  <c r="L13" i="32"/>
  <c r="M12" i="32"/>
  <c r="M14" i="32"/>
  <c r="M21" i="32"/>
  <c r="L21" i="32"/>
  <c r="M26" i="32"/>
  <c r="L26" i="32"/>
  <c r="M16" i="32"/>
  <c r="L14" i="32"/>
  <c r="L16" i="32"/>
  <c r="M24" i="30"/>
  <c r="M18" i="30"/>
  <c r="L17" i="30"/>
  <c r="M22" i="30"/>
  <c r="L18" i="30"/>
  <c r="L22" i="30"/>
  <c r="M17" i="30"/>
  <c r="L24" i="30"/>
  <c r="M26" i="30"/>
  <c r="L23" i="30"/>
  <c r="L26" i="30"/>
  <c r="M20" i="30"/>
  <c r="M19" i="30"/>
  <c r="L25" i="30"/>
  <c r="L20" i="30"/>
  <c r="M23" i="30"/>
  <c r="M25" i="30"/>
  <c r="L19" i="30"/>
  <c r="M21" i="30"/>
  <c r="L21" i="30"/>
  <c r="M20" i="33"/>
  <c r="M7" i="32"/>
  <c r="L22" i="33"/>
  <c r="M22" i="33"/>
  <c r="L21" i="33"/>
  <c r="M21" i="33"/>
  <c r="L20" i="33"/>
  <c r="L19" i="33"/>
  <c r="M19" i="33"/>
  <c r="M18" i="33"/>
  <c r="M7" i="33"/>
  <c r="L18" i="33"/>
  <c r="L9" i="36"/>
  <c r="M8" i="35"/>
  <c r="M11" i="35"/>
  <c r="L9" i="35"/>
  <c r="L12" i="35"/>
  <c r="L31" i="35"/>
  <c r="M27" i="36"/>
  <c r="M9" i="36"/>
  <c r="L10" i="36"/>
  <c r="M7" i="36"/>
  <c r="L27" i="36"/>
  <c r="L8" i="36"/>
  <c r="M10" i="36"/>
  <c r="M31" i="36"/>
  <c r="L11" i="36"/>
  <c r="M8" i="36"/>
  <c r="L31" i="36"/>
  <c r="M11" i="36"/>
  <c r="L31" i="33"/>
  <c r="L7" i="33"/>
  <c r="M9" i="33"/>
  <c r="L11" i="33"/>
  <c r="L13" i="33"/>
  <c r="M31" i="35"/>
  <c r="M13" i="33"/>
  <c r="M17" i="33"/>
  <c r="L17" i="33"/>
  <c r="L15" i="35"/>
  <c r="L7" i="35"/>
  <c r="M15" i="35"/>
  <c r="L7" i="36"/>
  <c r="L8" i="33"/>
  <c r="L10" i="33"/>
  <c r="M26" i="33"/>
  <c r="M12" i="33"/>
  <c r="M12" i="35"/>
  <c r="L8" i="35"/>
  <c r="M27" i="35"/>
  <c r="L14" i="35"/>
  <c r="M15" i="33"/>
  <c r="L16" i="33"/>
  <c r="M14" i="33"/>
  <c r="L10" i="35"/>
  <c r="M14" i="35"/>
  <c r="M16" i="35"/>
  <c r="M31" i="30"/>
  <c r="L27" i="30"/>
  <c r="M13" i="35"/>
  <c r="L13" i="35"/>
  <c r="L27" i="35"/>
  <c r="L16" i="35"/>
  <c r="M9" i="35"/>
  <c r="L11" i="35"/>
  <c r="M7" i="35"/>
  <c r="M10" i="35"/>
  <c r="M10" i="33"/>
  <c r="M31" i="33"/>
  <c r="M8" i="32"/>
  <c r="M16" i="33"/>
  <c r="M11" i="33"/>
  <c r="L14" i="33"/>
  <c r="L9" i="33"/>
  <c r="L15" i="33"/>
  <c r="M8" i="33"/>
  <c r="L12" i="33"/>
  <c r="M10" i="32"/>
  <c r="L9" i="32"/>
  <c r="L26" i="33"/>
  <c r="L7" i="32"/>
  <c r="L10" i="32"/>
  <c r="M9" i="32"/>
  <c r="L31" i="32"/>
  <c r="L8" i="32"/>
  <c r="L27" i="33"/>
  <c r="M27" i="33"/>
  <c r="L11" i="32"/>
  <c r="L27" i="32"/>
  <c r="M11" i="32"/>
  <c r="M27" i="32"/>
  <c r="M31" i="32"/>
  <c r="M13" i="30"/>
  <c r="L15" i="30"/>
  <c r="M10" i="30"/>
  <c r="M27" i="30"/>
  <c r="M11" i="30"/>
  <c r="L11" i="30"/>
  <c r="M14" i="30"/>
  <c r="L12" i="30"/>
  <c r="L8" i="30"/>
  <c r="M7" i="30"/>
  <c r="L13" i="30"/>
  <c r="L7" i="30"/>
  <c r="M9" i="30"/>
  <c r="M12" i="30"/>
  <c r="M16" i="30"/>
  <c r="M8" i="30"/>
  <c r="L31" i="30"/>
  <c r="L9" i="30"/>
  <c r="M15" i="30"/>
  <c r="L10" i="30"/>
  <c r="L16" i="30"/>
  <c r="L14" i="30"/>
  <c r="G37" i="19" l="1"/>
  <c r="D28" i="19" l="1"/>
  <c r="L5" i="20" l="1"/>
  <c r="F37" i="19" l="1"/>
  <c r="D29" i="19" l="1"/>
  <c r="Q7" i="20" l="1"/>
  <c r="Q8" i="20"/>
  <c r="Q9" i="20"/>
  <c r="Q10" i="20"/>
  <c r="Q11" i="20"/>
  <c r="Q12" i="20"/>
  <c r="Q13" i="20"/>
  <c r="Q14" i="20"/>
  <c r="Q15" i="20"/>
  <c r="Q16" i="20"/>
  <c r="Q17" i="20"/>
  <c r="Q18" i="20"/>
  <c r="R6" i="20"/>
  <c r="Q6" i="20"/>
  <c r="Y2" i="2"/>
  <c r="K23" i="27"/>
  <c r="K14" i="27"/>
  <c r="V31" i="27"/>
  <c r="U31" i="27"/>
  <c r="T31" i="27"/>
  <c r="V30" i="27"/>
  <c r="U30" i="27"/>
  <c r="T30" i="27"/>
  <c r="V29" i="27"/>
  <c r="U29" i="27"/>
  <c r="T29" i="27"/>
  <c r="V28" i="27"/>
  <c r="U28" i="27"/>
  <c r="T28" i="27"/>
  <c r="V27" i="27"/>
  <c r="U27" i="27"/>
  <c r="T27" i="27"/>
  <c r="V26" i="27"/>
  <c r="U26" i="27"/>
  <c r="T26" i="27"/>
  <c r="V25" i="27"/>
  <c r="U25" i="27"/>
  <c r="T25" i="27"/>
  <c r="V24" i="27"/>
  <c r="U24" i="27"/>
  <c r="T24" i="27"/>
  <c r="V23" i="27"/>
  <c r="U23" i="27"/>
  <c r="T23" i="27"/>
  <c r="V22" i="27"/>
  <c r="U22" i="27"/>
  <c r="T22" i="27"/>
  <c r="V21" i="27"/>
  <c r="U21" i="27"/>
  <c r="T21" i="27"/>
  <c r="V20" i="27"/>
  <c r="U20" i="27"/>
  <c r="T20" i="27"/>
  <c r="V19" i="27"/>
  <c r="U19" i="27"/>
  <c r="T19" i="27"/>
  <c r="V18" i="27"/>
  <c r="U18" i="27"/>
  <c r="T18" i="27"/>
  <c r="V17" i="27"/>
  <c r="U17" i="27"/>
  <c r="T17" i="27"/>
  <c r="V16" i="27"/>
  <c r="U16" i="27"/>
  <c r="T16" i="27"/>
  <c r="V15" i="27"/>
  <c r="U15" i="27"/>
  <c r="T15" i="27"/>
  <c r="V14" i="27"/>
  <c r="U14" i="27"/>
  <c r="T14" i="27"/>
  <c r="V13" i="27"/>
  <c r="U13" i="27"/>
  <c r="T13" i="27"/>
  <c r="V12" i="27"/>
  <c r="U12" i="27"/>
  <c r="T12" i="27"/>
  <c r="V11" i="27"/>
  <c r="U11" i="27"/>
  <c r="T11" i="27"/>
  <c r="V10" i="27"/>
  <c r="U10" i="27"/>
  <c r="T10" i="27"/>
  <c r="V9" i="27"/>
  <c r="U9" i="27"/>
  <c r="T9" i="27"/>
  <c r="V8" i="27"/>
  <c r="U8" i="27"/>
  <c r="T8" i="27"/>
  <c r="V7" i="27"/>
  <c r="U7" i="27"/>
  <c r="T7" i="27"/>
  <c r="D36" i="19"/>
  <c r="D35" i="19"/>
  <c r="D34" i="19"/>
  <c r="B5" i="20"/>
  <c r="I37" i="19"/>
  <c r="H31" i="27"/>
  <c r="H27" i="27"/>
  <c r="H7" i="27"/>
  <c r="H9" i="27"/>
  <c r="H16" i="27"/>
  <c r="N16" i="27" s="1"/>
  <c r="H10" i="27"/>
  <c r="H8" i="27"/>
  <c r="N8" i="27" s="1"/>
  <c r="Z10" i="2"/>
  <c r="P12" i="20" s="1"/>
  <c r="Z5" i="2"/>
  <c r="P7" i="20" s="1"/>
  <c r="Z6" i="2"/>
  <c r="P8" i="20" s="1"/>
  <c r="Z7" i="2"/>
  <c r="P9" i="20" s="1"/>
  <c r="Z8" i="2"/>
  <c r="P10" i="20" s="1"/>
  <c r="Z9" i="2"/>
  <c r="P11" i="20" s="1"/>
  <c r="Z11" i="2"/>
  <c r="P13" i="20" s="1"/>
  <c r="Z12" i="2"/>
  <c r="P14" i="20" s="1"/>
  <c r="Z13" i="2"/>
  <c r="P15" i="20" s="1"/>
  <c r="Z14" i="2"/>
  <c r="P16" i="20" s="1"/>
  <c r="Z15" i="2"/>
  <c r="P17" i="20" s="1"/>
  <c r="Z16" i="2"/>
  <c r="P18" i="20" s="1"/>
  <c r="Z4" i="2"/>
  <c r="P6" i="20" s="1"/>
  <c r="Y5" i="2"/>
  <c r="D4" i="20" s="1"/>
  <c r="Y6" i="2"/>
  <c r="F4" i="20" s="1"/>
  <c r="Y7" i="2"/>
  <c r="H4" i="20" s="1"/>
  <c r="Y8" i="2"/>
  <c r="J4" i="20" s="1"/>
  <c r="Y9" i="2"/>
  <c r="L4" i="20" s="1"/>
  <c r="Y10" i="2"/>
  <c r="B19" i="20" s="1"/>
  <c r="Y11" i="2"/>
  <c r="D19" i="20" s="1"/>
  <c r="Y12" i="2"/>
  <c r="Y13" i="2"/>
  <c r="F19" i="20" s="1"/>
  <c r="Y14" i="2"/>
  <c r="H19" i="20" s="1"/>
  <c r="Y15" i="2"/>
  <c r="J19" i="20" s="1"/>
  <c r="Y16" i="2"/>
  <c r="L19" i="20" s="1"/>
  <c r="Y4" i="2"/>
  <c r="B4" i="20" s="1"/>
  <c r="H37" i="19"/>
  <c r="L20" i="20"/>
  <c r="J20" i="20"/>
  <c r="H20" i="20"/>
  <c r="F20" i="20"/>
  <c r="D20" i="20"/>
  <c r="B20" i="20"/>
  <c r="J5" i="20"/>
  <c r="H5" i="20"/>
  <c r="F5" i="20"/>
  <c r="D5" i="20"/>
  <c r="D27" i="19"/>
  <c r="D32" i="19"/>
  <c r="D33" i="19"/>
  <c r="D30" i="19"/>
  <c r="D31" i="19"/>
  <c r="N9" i="27" l="1"/>
  <c r="E15" i="27"/>
  <c r="K12" i="27"/>
  <c r="K15" i="27"/>
  <c r="E13" i="27"/>
  <c r="E12" i="27"/>
  <c r="E19" i="27"/>
  <c r="E18" i="27"/>
  <c r="K21" i="27"/>
  <c r="E14" i="27"/>
  <c r="K18" i="27"/>
  <c r="K17" i="27"/>
  <c r="K13" i="27"/>
  <c r="E11" i="27"/>
  <c r="K22" i="27"/>
  <c r="E23" i="27"/>
  <c r="K19" i="27"/>
  <c r="E17" i="27"/>
  <c r="K20" i="27"/>
  <c r="K11" i="27"/>
  <c r="E22" i="27"/>
  <c r="E21" i="27"/>
  <c r="E20" i="27"/>
  <c r="E7" i="27"/>
  <c r="E8" i="27"/>
  <c r="E16" i="27"/>
  <c r="E10" i="27"/>
  <c r="E9" i="27"/>
  <c r="E7" i="19"/>
  <c r="K31" i="27"/>
  <c r="K7" i="27"/>
  <c r="N27" i="27"/>
  <c r="N31" i="27"/>
  <c r="N11" i="27"/>
  <c r="K27" i="27"/>
  <c r="N10" i="27"/>
  <c r="N7" i="27"/>
  <c r="K8" i="27"/>
  <c r="N12" i="27"/>
  <c r="N15" i="27"/>
  <c r="K10" i="27"/>
  <c r="K9" i="27"/>
  <c r="K16" i="27"/>
  <c r="K7" i="19" l="1"/>
  <c r="E37" i="19"/>
  <c r="L18" i="27"/>
  <c r="M8" i="27"/>
  <c r="L22" i="27"/>
  <c r="L17" i="27"/>
  <c r="M22" i="27"/>
  <c r="M9" i="27"/>
  <c r="M17" i="27"/>
  <c r="L13" i="27"/>
  <c r="L9" i="27"/>
  <c r="L20" i="27"/>
  <c r="M13" i="27"/>
  <c r="M20" i="27"/>
  <c r="L8" i="27"/>
  <c r="M18" i="27"/>
  <c r="M19" i="27"/>
  <c r="L16" i="27"/>
  <c r="L19" i="27"/>
  <c r="M16" i="27"/>
  <c r="M14" i="27"/>
  <c r="L14" i="27"/>
  <c r="M21" i="27"/>
  <c r="L21" i="27"/>
  <c r="M23" i="27"/>
  <c r="L23" i="27"/>
  <c r="L15" i="27"/>
  <c r="M15" i="27"/>
  <c r="M12" i="27"/>
  <c r="L12" i="27"/>
  <c r="M7" i="27"/>
  <c r="M11" i="27"/>
  <c r="M10" i="27"/>
  <c r="L31" i="27"/>
  <c r="L27" i="27"/>
  <c r="L10" i="27"/>
  <c r="L11" i="27"/>
  <c r="M31" i="27"/>
  <c r="M27" i="27"/>
  <c r="L7" i="27"/>
</calcChain>
</file>

<file path=xl/sharedStrings.xml><?xml version="1.0" encoding="utf-8"?>
<sst xmlns="http://schemas.openxmlformats.org/spreadsheetml/2006/main" count="1176" uniqueCount="345">
  <si>
    <t>参加数</t>
  </si>
  <si>
    <t xml:space="preserve"> 艇 </t>
  </si>
  <si>
    <t>ＴＡのリスト（参照用）</t>
    <rPh sb="7" eb="10">
      <t>サンショウヨウ</t>
    </rPh>
    <phoneticPr fontId="6"/>
  </si>
  <si>
    <t>順位</t>
  </si>
  <si>
    <t>SAIL</t>
  </si>
  <si>
    <t>艇　　名</t>
  </si>
  <si>
    <t>R</t>
  </si>
  <si>
    <t>着順</t>
  </si>
  <si>
    <t>着時間</t>
  </si>
  <si>
    <t>ET</t>
  </si>
  <si>
    <t>TA</t>
    <phoneticPr fontId="6"/>
  </si>
  <si>
    <t>PN</t>
  </si>
  <si>
    <t>ＣＴ</t>
  </si>
  <si>
    <t>得点</t>
  </si>
  <si>
    <t>NO.</t>
  </si>
  <si>
    <t xml:space="preserve">m </t>
  </si>
  <si>
    <t>H：M：S</t>
  </si>
  <si>
    <t xml:space="preserve">S </t>
  </si>
  <si>
    <t xml:space="preserve">% </t>
  </si>
  <si>
    <t xml:space="preserve">Kt </t>
  </si>
  <si>
    <t>Ⅰ</t>
    <phoneticPr fontId="6"/>
  </si>
  <si>
    <t>Ⅲ</t>
    <phoneticPr fontId="6"/>
  </si>
  <si>
    <t>Ⅱ</t>
    <phoneticPr fontId="6"/>
  </si>
  <si>
    <t>ふるたか</t>
  </si>
  <si>
    <t>サ－モン4</t>
  </si>
  <si>
    <t>はやとり</t>
  </si>
  <si>
    <t>かまくら</t>
  </si>
  <si>
    <t>衣笠</t>
  </si>
  <si>
    <t>くろしお</t>
  </si>
  <si>
    <t>アイデアル</t>
  </si>
  <si>
    <t>未央</t>
  </si>
  <si>
    <t>S/NM</t>
    <phoneticPr fontId="5"/>
  </si>
  <si>
    <t>初島</t>
    <rPh sb="0" eb="2">
      <t>ハツシマ</t>
    </rPh>
    <phoneticPr fontId="6"/>
  </si>
  <si>
    <t>コース</t>
    <phoneticPr fontId="5"/>
  </si>
  <si>
    <t>月</t>
    <rPh sb="0" eb="1">
      <t>ツキ</t>
    </rPh>
    <phoneticPr fontId="5"/>
  </si>
  <si>
    <t>スタート</t>
    <phoneticPr fontId="5"/>
  </si>
  <si>
    <t xml:space="preserve"> (暫定) </t>
  </si>
  <si>
    <t>レース番号</t>
    <rPh sb="3" eb="5">
      <t>バンゴウ</t>
    </rPh>
    <phoneticPr fontId="5"/>
  </si>
  <si>
    <t>暫定版</t>
    <rPh sb="0" eb="2">
      <t>ザンテイ</t>
    </rPh>
    <rPh sb="2" eb="3">
      <t>ハン</t>
    </rPh>
    <phoneticPr fontId="5"/>
  </si>
  <si>
    <t>開催年</t>
    <rPh sb="0" eb="2">
      <t>カイサイ</t>
    </rPh>
    <rPh sb="2" eb="3">
      <t>ネン</t>
    </rPh>
    <phoneticPr fontId="5"/>
  </si>
  <si>
    <t>年</t>
    <rPh sb="0" eb="1">
      <t>ネン</t>
    </rPh>
    <phoneticPr fontId="5"/>
  </si>
  <si>
    <t>開催月</t>
    <rPh sb="0" eb="2">
      <t>カイサイ</t>
    </rPh>
    <rPh sb="2" eb="3">
      <t>ツキ</t>
    </rPh>
    <phoneticPr fontId="5"/>
  </si>
  <si>
    <t>レース番号</t>
    <rPh sb="3" eb="5">
      <t>バンゴウ</t>
    </rPh>
    <phoneticPr fontId="5"/>
  </si>
  <si>
    <t>熱海</t>
    <rPh sb="0" eb="2">
      <t>アタミ</t>
    </rPh>
    <phoneticPr fontId="6"/>
  </si>
  <si>
    <t>レース名</t>
    <rPh sb="3" eb="4">
      <t>メイ</t>
    </rPh>
    <phoneticPr fontId="5"/>
  </si>
  <si>
    <t>小網代フリートレース</t>
    <rPh sb="0" eb="1">
      <t>コ</t>
    </rPh>
    <rPh sb="1" eb="3">
      <t>アジロ</t>
    </rPh>
    <phoneticPr fontId="5"/>
  </si>
  <si>
    <t>ＴＡ</t>
    <phoneticPr fontId="5"/>
  </si>
  <si>
    <t>ＴＡ</t>
    <phoneticPr fontId="5"/>
  </si>
  <si>
    <t>Ⅰ</t>
    <phoneticPr fontId="5"/>
  </si>
  <si>
    <t>Ⅱ</t>
    <phoneticPr fontId="5"/>
  </si>
  <si>
    <t>Ⅲ</t>
    <phoneticPr fontId="5"/>
  </si>
  <si>
    <t>記  事</t>
    <phoneticPr fontId="5"/>
  </si>
  <si>
    <t>艇速</t>
    <rPh sb="0" eb="1">
      <t>テイ</t>
    </rPh>
    <rPh sb="1" eb="2">
      <t>ソク</t>
    </rPh>
    <phoneticPr fontId="5"/>
  </si>
  <si>
    <t>時刻</t>
    <rPh sb="0" eb="2">
      <t>ジコク</t>
    </rPh>
    <phoneticPr fontId="5"/>
  </si>
  <si>
    <t>コース・距離</t>
    <rPh sb="4" eb="6">
      <t>キョリ</t>
    </rPh>
    <phoneticPr fontId="5"/>
  </si>
  <si>
    <t>Ｅ</t>
  </si>
  <si>
    <t>距離(NM)</t>
    <rPh sb="0" eb="2">
      <t>キョリ</t>
    </rPh>
    <phoneticPr fontId="5"/>
  </si>
  <si>
    <t>得点（参照用）</t>
    <rPh sb="0" eb="2">
      <t>トクテン</t>
    </rPh>
    <rPh sb="3" eb="6">
      <t>サンショウヨウ</t>
    </rPh>
    <phoneticPr fontId="5"/>
  </si>
  <si>
    <t>得点</t>
    <rPh sb="0" eb="2">
      <t>トクテン</t>
    </rPh>
    <phoneticPr fontId="5"/>
  </si>
  <si>
    <t>MAX=20</t>
    <phoneticPr fontId="5"/>
  </si>
  <si>
    <t>MAX=30</t>
    <phoneticPr fontId="5"/>
  </si>
  <si>
    <t>MAX=40</t>
    <phoneticPr fontId="5"/>
  </si>
  <si>
    <t>MAX=40</t>
    <phoneticPr fontId="5"/>
  </si>
  <si>
    <t>開催日</t>
    <rPh sb="0" eb="3">
      <t>カイサイビ</t>
    </rPh>
    <phoneticPr fontId="5"/>
  </si>
  <si>
    <t>距離</t>
    <rPh sb="0" eb="2">
      <t>キョリ</t>
    </rPh>
    <phoneticPr fontId="5"/>
  </si>
  <si>
    <t xml:space="preserve"> (確定) </t>
    <rPh sb="2" eb="4">
      <t>カクテイ</t>
    </rPh>
    <phoneticPr fontId="5"/>
  </si>
  <si>
    <t>コース</t>
  </si>
  <si>
    <t>SAIL　No.</t>
  </si>
  <si>
    <t>艇　名</t>
  </si>
  <si>
    <t>得点計</t>
  </si>
  <si>
    <t>皆勤賞</t>
    <rPh sb="0" eb="3">
      <t>カイキンショウ</t>
    </rPh>
    <phoneticPr fontId="6"/>
  </si>
  <si>
    <t>参加賞</t>
    <rPh sb="0" eb="3">
      <t>サンカショウ</t>
    </rPh>
    <phoneticPr fontId="6"/>
  </si>
  <si>
    <t>2</t>
  </si>
  <si>
    <t>3</t>
  </si>
  <si>
    <t>4</t>
  </si>
  <si>
    <t>6</t>
  </si>
  <si>
    <t>7</t>
  </si>
  <si>
    <t>8</t>
  </si>
  <si>
    <t>9</t>
  </si>
  <si>
    <t>10</t>
  </si>
  <si>
    <t>13</t>
  </si>
  <si>
    <t>14</t>
  </si>
  <si>
    <t>15</t>
  </si>
  <si>
    <t>16</t>
  </si>
  <si>
    <t>17</t>
  </si>
  <si>
    <t>18</t>
  </si>
  <si>
    <t>19</t>
  </si>
  <si>
    <t>21</t>
  </si>
  <si>
    <t>22</t>
  </si>
  <si>
    <t>23</t>
  </si>
  <si>
    <t>24</t>
  </si>
  <si>
    <t>25</t>
  </si>
  <si>
    <t>レース参加艇数</t>
    <rPh sb="3" eb="5">
      <t>サンカ</t>
    </rPh>
    <rPh sb="5" eb="6">
      <t>テイ</t>
    </rPh>
    <rPh sb="6" eb="7">
      <t>スウ</t>
    </rPh>
    <phoneticPr fontId="6"/>
  </si>
  <si>
    <t>　優 勝 盾　</t>
  </si>
  <si>
    <t>1</t>
    <phoneticPr fontId="6"/>
  </si>
  <si>
    <t>5</t>
    <phoneticPr fontId="6"/>
  </si>
  <si>
    <t>11</t>
    <phoneticPr fontId="6"/>
  </si>
  <si>
    <t>12</t>
    <phoneticPr fontId="6"/>
  </si>
  <si>
    <t>20</t>
    <phoneticPr fontId="6"/>
  </si>
  <si>
    <t>Cはコミッティ担当、Bはコミッティボート提供。</t>
    <phoneticPr fontId="6"/>
  </si>
  <si>
    <t xml:space="preserve">　皆 勤 賞    </t>
    <phoneticPr fontId="6"/>
  </si>
  <si>
    <t xml:space="preserve">　参 加 賞  </t>
    <phoneticPr fontId="6"/>
  </si>
  <si>
    <t>小網代フリートレース　コミッティポイント</t>
    <phoneticPr fontId="6"/>
  </si>
  <si>
    <t>担当者名</t>
    <rPh sb="0" eb="2">
      <t>タントウ</t>
    </rPh>
    <rPh sb="2" eb="3">
      <t>シャ</t>
    </rPh>
    <rPh sb="3" eb="4">
      <t>メイ</t>
    </rPh>
    <phoneticPr fontId="6"/>
  </si>
  <si>
    <t>敬称略</t>
    <rPh sb="0" eb="2">
      <t>ケイショウ</t>
    </rPh>
    <rPh sb="2" eb="3">
      <t>リャク</t>
    </rPh>
    <phoneticPr fontId="6"/>
  </si>
  <si>
    <t>本部艇</t>
    <rPh sb="0" eb="2">
      <t>ホンブ</t>
    </rPh>
    <rPh sb="2" eb="3">
      <t>テイ</t>
    </rPh>
    <phoneticPr fontId="6"/>
  </si>
  <si>
    <t>Kマーク担当</t>
    <rPh sb="4" eb="6">
      <t>タントウ</t>
    </rPh>
    <phoneticPr fontId="6"/>
  </si>
  <si>
    <t>KFR開催</t>
    <rPh sb="3" eb="5">
      <t>カイサイ</t>
    </rPh>
    <phoneticPr fontId="6"/>
  </si>
  <si>
    <t>日程</t>
  </si>
  <si>
    <t>Aマーク担当</t>
  </si>
  <si>
    <t>スタート</t>
    <phoneticPr fontId="6"/>
  </si>
  <si>
    <t>ケロニア</t>
  </si>
  <si>
    <t>注２）</t>
  </si>
  <si>
    <t>熱海ランデブーレース　</t>
  </si>
  <si>
    <t>ナジャ</t>
  </si>
  <si>
    <t>テティス</t>
  </si>
  <si>
    <t>HAURAKI</t>
  </si>
  <si>
    <t>Bitter End</t>
  </si>
  <si>
    <t>BASIC</t>
  </si>
  <si>
    <t>INDICUM</t>
  </si>
  <si>
    <t>　</t>
    <phoneticPr fontId="5"/>
  </si>
  <si>
    <t>小網代ヨットクラブ レース委員会</t>
    <rPh sb="0" eb="1">
      <t>コ</t>
    </rPh>
    <rPh sb="1" eb="3">
      <t>アジロ</t>
    </rPh>
    <rPh sb="13" eb="16">
      <t>イインカイ</t>
    </rPh>
    <phoneticPr fontId="5"/>
  </si>
  <si>
    <t>実施日</t>
    <rPh sb="0" eb="2">
      <t>ジッシ</t>
    </rPh>
    <rPh sb="2" eb="3">
      <t>ビ</t>
    </rPh>
    <phoneticPr fontId="21"/>
  </si>
  <si>
    <t>本部艇</t>
    <rPh sb="0" eb="2">
      <t>ホンブ</t>
    </rPh>
    <rPh sb="2" eb="3">
      <t>テイ</t>
    </rPh>
    <phoneticPr fontId="5"/>
  </si>
  <si>
    <t>マーク担当</t>
    <rPh sb="3" eb="5">
      <t>タントウ</t>
    </rPh>
    <phoneticPr fontId="5"/>
  </si>
  <si>
    <t>1月</t>
    <rPh sb="1" eb="2">
      <t>ガツ</t>
    </rPh>
    <phoneticPr fontId="5"/>
  </si>
  <si>
    <t>2月</t>
    <rPh sb="1" eb="2">
      <t>ガツ</t>
    </rPh>
    <phoneticPr fontId="5"/>
  </si>
  <si>
    <t>3月</t>
    <rPh sb="1" eb="2">
      <t>ガツ</t>
    </rPh>
    <phoneticPr fontId="5"/>
  </si>
  <si>
    <t>4月</t>
    <rPh sb="1" eb="2">
      <t>ガツ</t>
    </rPh>
    <phoneticPr fontId="5"/>
  </si>
  <si>
    <t>5月</t>
    <rPh sb="1" eb="2">
      <t>ガツ</t>
    </rPh>
    <phoneticPr fontId="5"/>
  </si>
  <si>
    <t>6月</t>
    <rPh sb="1" eb="2">
      <t>ガツ</t>
    </rPh>
    <phoneticPr fontId="5"/>
  </si>
  <si>
    <t>7月</t>
    <rPh sb="1" eb="2">
      <t>ガツ</t>
    </rPh>
    <phoneticPr fontId="5"/>
  </si>
  <si>
    <t>8月</t>
    <rPh sb="1" eb="2">
      <t>ガツ</t>
    </rPh>
    <phoneticPr fontId="5"/>
  </si>
  <si>
    <t>9月</t>
    <rPh sb="1" eb="2">
      <t>ガツ</t>
    </rPh>
    <phoneticPr fontId="5"/>
  </si>
  <si>
    <t>10月</t>
    <rPh sb="2" eb="3">
      <t>ガツ</t>
    </rPh>
    <phoneticPr fontId="5"/>
  </si>
  <si>
    <t>11月</t>
    <rPh sb="2" eb="3">
      <t>ガツ</t>
    </rPh>
    <phoneticPr fontId="5"/>
  </si>
  <si>
    <t>12月</t>
    <rPh sb="2" eb="3">
      <t>ガツ</t>
    </rPh>
    <phoneticPr fontId="5"/>
  </si>
  <si>
    <t>風速：xxxノット
風向：　
天気：
◇ｺﾐｯﾃｨ：</t>
    <phoneticPr fontId="5"/>
  </si>
  <si>
    <t>風向：　</t>
    <phoneticPr fontId="5"/>
  </si>
  <si>
    <t>天気：</t>
    <phoneticPr fontId="5"/>
  </si>
  <si>
    <t>次回
2015年８月16日 
◇ｺﾐｯﾃｨ：くろしお</t>
    <phoneticPr fontId="5"/>
  </si>
  <si>
    <t>ｺﾐｯﾃｨ：</t>
    <phoneticPr fontId="5"/>
  </si>
  <si>
    <t>2月</t>
  </si>
  <si>
    <t>3月</t>
  </si>
  <si>
    <t>4月</t>
  </si>
  <si>
    <t>5月</t>
  </si>
  <si>
    <t>6月</t>
  </si>
  <si>
    <t>7月</t>
  </si>
  <si>
    <t>8月</t>
  </si>
  <si>
    <t>9月</t>
  </si>
  <si>
    <t>10月</t>
  </si>
  <si>
    <t>11月</t>
  </si>
  <si>
    <t>12月</t>
  </si>
  <si>
    <t>ｺｰｽ：</t>
    <phoneticPr fontId="5"/>
  </si>
  <si>
    <t>E</t>
    <phoneticPr fontId="5"/>
  </si>
  <si>
    <t>　ステンドグラス楯</t>
    <phoneticPr fontId="5"/>
  </si>
  <si>
    <t xml:space="preserve">　各月トップ賞  </t>
    <rPh sb="1" eb="2">
      <t>カク</t>
    </rPh>
    <rPh sb="2" eb="3">
      <t>ツキ</t>
    </rPh>
    <phoneticPr fontId="6"/>
  </si>
  <si>
    <t>（半期全回出場した艇）</t>
    <phoneticPr fontId="5"/>
  </si>
  <si>
    <t>（半期2回以上出場した艇）</t>
    <phoneticPr fontId="5"/>
  </si>
  <si>
    <t>小網代フリートレース成績（確定）</t>
    <rPh sb="10" eb="12">
      <t>セイセキ</t>
    </rPh>
    <rPh sb="13" eb="15">
      <t>カクテイ</t>
    </rPh>
    <phoneticPr fontId="6"/>
  </si>
  <si>
    <t>HAYATE</t>
  </si>
  <si>
    <t>SHARK X</t>
  </si>
  <si>
    <t>桜工</t>
  </si>
  <si>
    <t xml:space="preserve"> </t>
    <phoneticPr fontId="5"/>
  </si>
  <si>
    <t>艇　名</t>
    <rPh sb="0" eb="1">
      <t>テイ</t>
    </rPh>
    <rPh sb="2" eb="3">
      <t>ナ</t>
    </rPh>
    <phoneticPr fontId="5"/>
  </si>
  <si>
    <t>EBB TIDE</t>
  </si>
  <si>
    <t>Ⅱ</t>
  </si>
  <si>
    <t xml:space="preserve"> 秒/ﾏｲﾙ</t>
  </si>
  <si>
    <t>RATING</t>
    <phoneticPr fontId="5"/>
  </si>
  <si>
    <t>H</t>
  </si>
  <si>
    <t>H</t>
    <phoneticPr fontId="5"/>
  </si>
  <si>
    <t>J</t>
    <phoneticPr fontId="5"/>
  </si>
  <si>
    <t>K</t>
    <phoneticPr fontId="5"/>
  </si>
  <si>
    <t>初島</t>
    <rPh sb="0" eb="2">
      <t>ハツシマ</t>
    </rPh>
    <phoneticPr fontId="5"/>
  </si>
  <si>
    <t>リミット</t>
    <phoneticPr fontId="5"/>
  </si>
  <si>
    <r>
      <rPr>
        <b/>
        <sz val="11"/>
        <rFont val="HGSｺﾞｼｯｸM"/>
        <family val="3"/>
        <charset val="128"/>
      </rPr>
      <t>ﾄｯﾌ</t>
    </r>
    <r>
      <rPr>
        <b/>
        <sz val="10"/>
        <rFont val="HGSｺﾞｼｯｸM"/>
        <family val="3"/>
        <charset val="128"/>
      </rPr>
      <t>ﾟ</t>
    </r>
    <r>
      <rPr>
        <b/>
        <sz val="8"/>
        <rFont val="HGSｺﾞｼｯｸM"/>
        <family val="3"/>
        <charset val="128"/>
      </rPr>
      <t>との</t>
    </r>
    <r>
      <rPr>
        <b/>
        <sz val="11"/>
        <rFont val="HGSｺﾞｼｯｸM"/>
        <family val="3"/>
        <charset val="128"/>
      </rPr>
      <t>差</t>
    </r>
    <phoneticPr fontId="6"/>
  </si>
  <si>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6"/>
  </si>
  <si>
    <r>
      <rPr>
        <sz val="12"/>
        <rFont val="HGSｺﾞｼｯｸM"/>
        <family val="3"/>
        <charset val="128"/>
      </rPr>
      <t xml:space="preserve"> 得点=20(N＋1‐J)/N</t>
    </r>
    <r>
      <rPr>
        <sz val="11"/>
        <rFont val="HGSｺﾞｼｯｸM"/>
        <family val="3"/>
        <charset val="128"/>
      </rPr>
      <t xml:space="preserve">
</t>
    </r>
    <r>
      <rPr>
        <sz val="10"/>
        <rFont val="HGSｺﾞｼｯｸM"/>
        <family val="3"/>
        <charset val="128"/>
      </rPr>
      <t xml:space="preserve"> N:参加艇数　 J:順位　
 DコースおよびＦコースは上記の1.5倍,DNS,DNF等は1点,DSQは0点</t>
    </r>
    <r>
      <rPr>
        <sz val="11"/>
        <rFont val="HGSｺﾞｼｯｸM"/>
        <family val="3"/>
        <charset val="128"/>
      </rPr>
      <t xml:space="preserve">
 </t>
    </r>
    <r>
      <rPr>
        <sz val="12"/>
        <rFont val="HGSｺﾞｼｯｸM"/>
        <family val="3"/>
        <charset val="128"/>
      </rPr>
      <t xml:space="preserve">初島レースの得点
      =30(N-J)/(N-1)+10
 </t>
    </r>
    <r>
      <rPr>
        <sz val="10"/>
        <rFont val="HGSｺﾞｼｯｸM"/>
        <family val="3"/>
        <charset val="128"/>
      </rPr>
      <t>月例の2倍,最下位艇10点,DNF5点</t>
    </r>
    <rPh sb="78" eb="80">
      <t>トクテン</t>
    </rPh>
    <phoneticPr fontId="6"/>
  </si>
  <si>
    <r>
      <rPr>
        <b/>
        <sz val="11"/>
        <rFont val="HGSｺﾞｼｯｸM"/>
        <family val="3"/>
        <charset val="128"/>
      </rPr>
      <t>ﾄｯﾌﾟ</t>
    </r>
    <r>
      <rPr>
        <b/>
        <sz val="8"/>
        <rFont val="HGSｺﾞｼｯｸM"/>
        <family val="3"/>
        <charset val="128"/>
      </rPr>
      <t>との</t>
    </r>
    <r>
      <rPr>
        <b/>
        <sz val="11"/>
        <rFont val="HGSｺﾞｼｯｸM"/>
        <family val="3"/>
        <charset val="128"/>
      </rPr>
      <t>差</t>
    </r>
    <phoneticPr fontId="6"/>
  </si>
  <si>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6"/>
  </si>
  <si>
    <t>KFRランデブーレース</t>
    <phoneticPr fontId="5"/>
  </si>
  <si>
    <t>KFRランデブー</t>
    <phoneticPr fontId="5"/>
  </si>
  <si>
    <t>合同</t>
    <rPh sb="0" eb="2">
      <t>ゴウドウ</t>
    </rPh>
    <phoneticPr fontId="5"/>
  </si>
  <si>
    <t>J</t>
  </si>
  <si>
    <t>仰秀</t>
  </si>
  <si>
    <t>香</t>
  </si>
  <si>
    <t>G</t>
    <phoneticPr fontId="5"/>
  </si>
  <si>
    <t>参考：次年度</t>
    <rPh sb="0" eb="2">
      <t>サンコウ</t>
    </rPh>
    <rPh sb="3" eb="6">
      <t>ジネンド</t>
    </rPh>
    <phoneticPr fontId="5"/>
  </si>
  <si>
    <t>F</t>
    <phoneticPr fontId="5"/>
  </si>
  <si>
    <t>M</t>
    <phoneticPr fontId="5"/>
  </si>
  <si>
    <t>1月</t>
    <rPh sb="1" eb="2">
      <t>ガツ</t>
    </rPh>
    <phoneticPr fontId="5"/>
  </si>
  <si>
    <t>MAX=25</t>
    <phoneticPr fontId="5"/>
  </si>
  <si>
    <t>MAX=15</t>
    <phoneticPr fontId="5"/>
  </si>
  <si>
    <t xml:space="preserve">  ～   kt</t>
    <phoneticPr fontId="5"/>
  </si>
  <si>
    <t xml:space="preserve">  ～ </t>
    <phoneticPr fontId="40"/>
  </si>
  <si>
    <t>Ｆ</t>
  </si>
  <si>
    <t>未決定</t>
    <rPh sb="0" eb="3">
      <t>ミケッテイ</t>
    </rPh>
    <phoneticPr fontId="5"/>
  </si>
  <si>
    <t>ﾈﾌﾟﾁｭｰﾝXⅡ</t>
  </si>
  <si>
    <t>VITTORIA</t>
  </si>
  <si>
    <t>VEGA7</t>
  </si>
  <si>
    <t>,</t>
    <phoneticPr fontId="70"/>
  </si>
  <si>
    <t xml:space="preserve"> ～ kt</t>
    <phoneticPr fontId="70"/>
  </si>
  <si>
    <t xml:space="preserve">   ～   kt</t>
    <phoneticPr fontId="5"/>
  </si>
  <si>
    <t xml:space="preserve">  ～</t>
    <phoneticPr fontId="40"/>
  </si>
  <si>
    <t xml:space="preserve">    ～    kt</t>
    <phoneticPr fontId="5"/>
  </si>
  <si>
    <t>飛車角</t>
  </si>
  <si>
    <t>VEGA8</t>
  </si>
  <si>
    <t>胡桃</t>
  </si>
  <si>
    <t>MELTEMI</t>
  </si>
  <si>
    <t>CYNTHIA Ⅳ</t>
  </si>
  <si>
    <t>＃598</t>
  </si>
  <si>
    <t xml:space="preserve">   ～  kt</t>
    <phoneticPr fontId="5"/>
  </si>
  <si>
    <t xml:space="preserve">   ～ </t>
    <phoneticPr fontId="40"/>
  </si>
  <si>
    <t xml:space="preserve">   /</t>
    <phoneticPr fontId="70"/>
  </si>
  <si>
    <t>D</t>
    <phoneticPr fontId="5"/>
  </si>
  <si>
    <t>SUNNY QUEEN</t>
  </si>
  <si>
    <t>Miss Emica</t>
  </si>
  <si>
    <t>飛車角</t>
    <rPh sb="0" eb="3">
      <t>ヒシャカク</t>
    </rPh>
    <phoneticPr fontId="5"/>
  </si>
  <si>
    <t>＃616</t>
  </si>
  <si>
    <t>＃617</t>
  </si>
  <si>
    <t>レース委員会　原　眞由彦</t>
    <rPh sb="3" eb="6">
      <t>イインカイ</t>
    </rPh>
    <rPh sb="7" eb="8">
      <t>ハラ</t>
    </rPh>
    <rPh sb="9" eb="12">
      <t>マユヒコ</t>
    </rPh>
    <phoneticPr fontId="6"/>
  </si>
  <si>
    <t>相模湾オープン合同</t>
    <rPh sb="0" eb="3">
      <t>サガミワン</t>
    </rPh>
    <rPh sb="7" eb="9">
      <t>ゴウドウ</t>
    </rPh>
    <phoneticPr fontId="5"/>
  </si>
  <si>
    <t>各艇のＴＡデータ</t>
    <rPh sb="0" eb="1">
      <t>カク</t>
    </rPh>
    <rPh sb="1" eb="2">
      <t>テイ</t>
    </rPh>
    <phoneticPr fontId="5"/>
  </si>
  <si>
    <t>SAIL No.</t>
    <phoneticPr fontId="5"/>
  </si>
  <si>
    <t>上
架</t>
    <rPh sb="0" eb="1">
      <t>ウエ</t>
    </rPh>
    <rPh sb="2" eb="3">
      <t>カ</t>
    </rPh>
    <phoneticPr fontId="5"/>
  </si>
  <si>
    <r>
      <rPr>
        <sz val="10"/>
        <rFont val="HGSｺﾞｼｯｸM"/>
        <family val="3"/>
        <charset val="128"/>
      </rPr>
      <t xml:space="preserve">【レースコメント】
【レース委員会より】
</t>
    </r>
    <r>
      <rPr>
        <sz val="12"/>
        <rFont val="HGSｺﾞｼｯｸM"/>
        <family val="3"/>
        <charset val="128"/>
      </rPr>
      <t xml:space="preserve">
</t>
    </r>
    <rPh sb="17" eb="20">
      <t>イインカイ</t>
    </rPh>
    <phoneticPr fontId="5"/>
  </si>
  <si>
    <r>
      <rPr>
        <sz val="10"/>
        <rFont val="HGSｺﾞｼｯｸM"/>
        <family val="3"/>
        <charset val="128"/>
      </rPr>
      <t xml:space="preserve">【レースコメント】
【レース委員会より】
</t>
    </r>
    <r>
      <rPr>
        <sz val="12"/>
        <rFont val="HGSｺﾞｼｯｸM"/>
        <family val="3"/>
        <charset val="128"/>
      </rPr>
      <t xml:space="preserve">
</t>
    </r>
    <phoneticPr fontId="5"/>
  </si>
  <si>
    <t>【レースコメント】
【レース委員会より】</t>
    <phoneticPr fontId="5"/>
  </si>
  <si>
    <r>
      <rPr>
        <sz val="11"/>
        <rFont val="HGSｺﾞｼｯｸM"/>
        <family val="3"/>
        <charset val="128"/>
      </rPr>
      <t xml:space="preserve">【レースコメント】
【レース委員会より】
</t>
    </r>
    <r>
      <rPr>
        <sz val="12"/>
        <rFont val="HGSｺﾞｼｯｸM"/>
        <family val="3"/>
        <charset val="128"/>
      </rPr>
      <t xml:space="preserve">
</t>
    </r>
    <phoneticPr fontId="5"/>
  </si>
  <si>
    <t xml:space="preserve">【レースコメント】
【レース委員会より】
</t>
    <phoneticPr fontId="5"/>
  </si>
  <si>
    <t>IV</t>
    <phoneticPr fontId="6"/>
  </si>
  <si>
    <t>MAX=30</t>
    <phoneticPr fontId="40"/>
  </si>
  <si>
    <t>MAX=40</t>
    <phoneticPr fontId="40"/>
  </si>
  <si>
    <t>2026年</t>
    <rPh sb="4" eb="5">
      <t>ネン</t>
    </rPh>
    <phoneticPr fontId="5"/>
  </si>
  <si>
    <t>TAⅠ
～8kt</t>
  </si>
  <si>
    <t>TAⅡ
8～13kt</t>
  </si>
  <si>
    <t>TAⅢ
13～18kt</t>
  </si>
  <si>
    <t>TAⅣ
18kt～</t>
  </si>
  <si>
    <t>Hanamizuki</t>
  </si>
  <si>
    <t>〇</t>
  </si>
  <si>
    <t>Milestone</t>
  </si>
  <si>
    <t>Miss Nippon Ⅷ</t>
  </si>
  <si>
    <t xml:space="preserve">ZIPANG </t>
  </si>
  <si>
    <t>IXORA Ⅳ</t>
  </si>
  <si>
    <t>PHOENIX</t>
  </si>
  <si>
    <t>IV</t>
  </si>
  <si>
    <t>IV</t>
    <phoneticPr fontId="5"/>
  </si>
  <si>
    <t>Ⅲ</t>
  </si>
  <si>
    <t>＃618</t>
  </si>
  <si>
    <t>＃619</t>
  </si>
  <si>
    <t>＃620</t>
  </si>
  <si>
    <t>＃621</t>
  </si>
  <si>
    <t>＃622</t>
  </si>
  <si>
    <t>＃623</t>
  </si>
  <si>
    <t>＃624</t>
  </si>
  <si>
    <t>＃625</t>
  </si>
  <si>
    <t>＃626</t>
  </si>
  <si>
    <t>＃627</t>
  </si>
  <si>
    <t>＃628</t>
  </si>
  <si>
    <t>＃629</t>
  </si>
  <si>
    <t>A</t>
    <phoneticPr fontId="5"/>
  </si>
  <si>
    <t>予備</t>
    <rPh sb="0" eb="2">
      <t>ヨビ</t>
    </rPh>
    <phoneticPr fontId="5"/>
  </si>
  <si>
    <t>予</t>
    <rPh sb="0" eb="1">
      <t>ヨ</t>
    </rPh>
    <phoneticPr fontId="5"/>
  </si>
  <si>
    <t>短縮</t>
    <rPh sb="0" eb="2">
      <t>タンシュク</t>
    </rPh>
    <phoneticPr fontId="5"/>
  </si>
  <si>
    <t>2026公示 帆走指示書より</t>
    <rPh sb="4" eb="6">
      <t>コウジ</t>
    </rPh>
    <rPh sb="7" eb="9">
      <t>ハンソウ</t>
    </rPh>
    <rPh sb="9" eb="12">
      <t>シジショ</t>
    </rPh>
    <phoneticPr fontId="5"/>
  </si>
  <si>
    <t>JorE</t>
    <phoneticPr fontId="5"/>
  </si>
  <si>
    <t>2026年KFRコミッティー担当一覧</t>
    <rPh sb="4" eb="5">
      <t>ネン</t>
    </rPh>
    <rPh sb="14" eb="16">
      <t>タントウ</t>
    </rPh>
    <rPh sb="16" eb="18">
      <t>イチラン</t>
    </rPh>
    <phoneticPr fontId="5"/>
  </si>
  <si>
    <t>コースから参照値</t>
    <rPh sb="5" eb="8">
      <t>サンショウチ</t>
    </rPh>
    <phoneticPr fontId="5"/>
  </si>
  <si>
    <t>2026年度 前期</t>
    <rPh sb="7" eb="9">
      <t>ゼンキ</t>
    </rPh>
    <phoneticPr fontId="6"/>
  </si>
  <si>
    <t>2026年1月現在</t>
    <rPh sb="4" eb="5">
      <t>ネン</t>
    </rPh>
    <rPh sb="6" eb="7">
      <t>ガツ</t>
    </rPh>
    <rPh sb="7" eb="9">
      <t>ゲンザイ</t>
    </rPh>
    <phoneticPr fontId="6"/>
  </si>
  <si>
    <t>※コース変更時は"O６"にのMAX値を変更</t>
    <rPh sb="17" eb="18">
      <t>チ</t>
    </rPh>
    <rPh sb="19" eb="21">
      <t>ヘンコウ</t>
    </rPh>
    <phoneticPr fontId="40"/>
  </si>
  <si>
    <t>※当月初回参加艇は</t>
    <rPh sb="1" eb="3">
      <t>トウゲツ</t>
    </rPh>
    <rPh sb="3" eb="5">
      <t>ショカイ</t>
    </rPh>
    <rPh sb="5" eb="7">
      <t>サンカ</t>
    </rPh>
    <rPh sb="7" eb="8">
      <t>テイ</t>
    </rPh>
    <phoneticPr fontId="5"/>
  </si>
  <si>
    <t>SAILNO.入力で点数反映</t>
    <rPh sb="7" eb="9">
      <t>ニュウリョク</t>
    </rPh>
    <rPh sb="10" eb="12">
      <t>テンスウ</t>
    </rPh>
    <rPh sb="12" eb="14">
      <t>ハンエイ</t>
    </rPh>
    <phoneticPr fontId="5"/>
  </si>
  <si>
    <t>LADY KANON</t>
  </si>
  <si>
    <t>2026年1月13日</t>
    <phoneticPr fontId="5"/>
  </si>
  <si>
    <t>KFRタイムアローワンス一覧　2026.1.13</t>
  </si>
  <si>
    <t>風域Ⅰ</t>
  </si>
  <si>
    <t>風域Ⅱ</t>
  </si>
  <si>
    <t>風域Ⅲ</t>
  </si>
  <si>
    <t>風域Ⅳ</t>
  </si>
  <si>
    <t>～8kt</t>
  </si>
  <si>
    <t>8～13kt</t>
  </si>
  <si>
    <t>13～18kt</t>
  </si>
  <si>
    <t>18kt～</t>
  </si>
  <si>
    <t>No</t>
  </si>
  <si>
    <t>タイプ</t>
  </si>
  <si>
    <t>TAⅠ
S/mile</t>
  </si>
  <si>
    <t>TAⅡ
s/mile</t>
  </si>
  <si>
    <t>TAⅢ
S/mile</t>
  </si>
  <si>
    <t>TAⅣ
S/mile</t>
  </si>
  <si>
    <t>上架</t>
  </si>
  <si>
    <t>MAT 1220</t>
  </si>
  <si>
    <t>C&amp;C 30</t>
  </si>
  <si>
    <t>FIRST 40</t>
  </si>
  <si>
    <t>B&amp;C37</t>
  </si>
  <si>
    <t>FIRST40.7</t>
  </si>
  <si>
    <t>ﾂﾎﾞｲIMS1030</t>
  </si>
  <si>
    <t>ｴﾘｵｯﾄ-35</t>
  </si>
  <si>
    <t>J-105</t>
  </si>
  <si>
    <t>SALONA 37</t>
  </si>
  <si>
    <t>YAMAHA 33s</t>
  </si>
  <si>
    <t>FIRST35</t>
  </si>
  <si>
    <t>SEAM 31</t>
  </si>
  <si>
    <t>SWAN 40</t>
  </si>
  <si>
    <t>J/V9.6CR</t>
  </si>
  <si>
    <t>VITE31</t>
  </si>
  <si>
    <t>J-33</t>
  </si>
  <si>
    <t>MAT 1010</t>
  </si>
  <si>
    <t>XP33</t>
  </si>
  <si>
    <t>HAYASHI34+1</t>
  </si>
  <si>
    <t>FARR 1020X</t>
  </si>
  <si>
    <t>WATANABE36</t>
  </si>
  <si>
    <t>X34</t>
  </si>
  <si>
    <t>X-372</t>
  </si>
  <si>
    <t>SLOT 31</t>
  </si>
  <si>
    <t>Dehler36CWS</t>
  </si>
  <si>
    <t>TSUBOI 950IMS</t>
  </si>
  <si>
    <t>YAMAHA31S</t>
  </si>
  <si>
    <t>DUFOUR 360</t>
  </si>
  <si>
    <t>Surprise</t>
  </si>
  <si>
    <t>X312</t>
  </si>
  <si>
    <t>J24</t>
  </si>
  <si>
    <t>上架艇係数</t>
  </si>
  <si>
    <t>上架艇は係留艇に対してペナルティーが掛かっている。上架艇は計算式で算出した数値に上記の係数を乗じてTAとしている。</t>
  </si>
  <si>
    <t>15 ～  kt</t>
    <phoneticPr fontId="5"/>
  </si>
  <si>
    <t>北東</t>
    <rPh sb="0" eb="2">
      <t>ホクトウ</t>
    </rPh>
    <phoneticPr fontId="40"/>
  </si>
  <si>
    <t>本部船コミッティ―</t>
    <phoneticPr fontId="40"/>
  </si>
  <si>
    <t>MAX=15</t>
  </si>
  <si>
    <t>テティス</t>
    <phoneticPr fontId="5"/>
  </si>
  <si>
    <t>児玉</t>
    <rPh sb="0" eb="2">
      <t>コダマ</t>
    </rPh>
    <phoneticPr fontId="5"/>
  </si>
  <si>
    <t>里吉</t>
    <rPh sb="0" eb="2">
      <t>サトヨシ</t>
    </rPh>
    <phoneticPr fontId="5"/>
  </si>
  <si>
    <t>鈴木</t>
    <rPh sb="0" eb="2">
      <t>スズキ</t>
    </rPh>
    <phoneticPr fontId="5"/>
  </si>
  <si>
    <t>Merci</t>
    <phoneticPr fontId="5"/>
  </si>
  <si>
    <t>ケロニア</t>
    <phoneticPr fontId="5"/>
  </si>
  <si>
    <t>ネプチューン</t>
  </si>
  <si>
    <t>IDEAL</t>
  </si>
  <si>
    <t>サーモン4</t>
  </si>
  <si>
    <t>ー</t>
  </si>
  <si>
    <t>IXORA IV</t>
  </si>
  <si>
    <t>テティスの皆様、コミッティーありがとうございました。
おかげで新年のレース優勝出来て嬉しく思います。
今回のレースでの勝因は先ず小網代ブイを回航後のスピントラブルです。スピンを即降ろせたので釜根までのプロパーコースを取る事が出来ました。
次は釜根からはMissEmica に最適な風でフルセイルクローズです。
そして最大の要因は綺麗な船底だと思います。冷たい水の中を毎回潜って船底を磨いてくれる伊藤さんの力は最大です.本年も迷惑をかけないように楽しませて頂きます。宜しくお願い致します。　　　　MissEmica 戸谷</t>
    <phoneticPr fontId="40"/>
  </si>
  <si>
    <t>高木</t>
    <rPh sb="0" eb="2">
      <t>タカギ</t>
    </rPh>
    <phoneticPr fontId="5"/>
  </si>
  <si>
    <t>新美</t>
    <rPh sb="0" eb="1">
      <t>シン</t>
    </rPh>
    <rPh sb="1" eb="2">
      <t>ビ</t>
    </rPh>
    <phoneticPr fontId="5"/>
  </si>
  <si>
    <t>浜田</t>
    <rPh sb="0" eb="2">
      <t>ハマダ</t>
    </rPh>
    <phoneticPr fontId="5"/>
  </si>
  <si>
    <t>2026年2月5日</t>
  </si>
  <si>
    <t>2026年2月5日</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</si>
</sst>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00_ "/>
    <numFmt numFmtId="178" formatCode="0.0_);[Red]\(0.0\)"/>
    <numFmt numFmtId="179" formatCode="0.0_ "/>
    <numFmt numFmtId="180" formatCode="hh:mm"/>
    <numFmt numFmtId="181" formatCode="0.0_ ;[Red]\-0.0\ "/>
    <numFmt numFmtId="182" formatCode="0.0"/>
    <numFmt numFmtId="183" formatCode="@&quot;コース&quot;"/>
    <numFmt numFmtId="184" formatCode="m/d;@"/>
    <numFmt numFmtId="185" formatCode="0.00_);[Red]\(0.00\)"/>
  </numFmts>
  <fonts count="8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3"/>
      <name val="ＭＳ 明朝"/>
      <family val="1"/>
      <charset val="128"/>
    </font>
    <font>
      <sz val="6"/>
      <name val="ＭＳ Ｐゴシック"/>
      <family val="3"/>
      <charset val="128"/>
    </font>
    <font>
      <sz val="6"/>
      <name val="ＭＳ Ｐゴシック"/>
      <family val="3"/>
      <charset val="128"/>
    </font>
    <font>
      <b/>
      <sz val="18"/>
      <name val="ＭＳ 明朝"/>
      <family val="1"/>
      <charset val="128"/>
    </font>
    <font>
      <sz val="12"/>
      <name val="ＭＳ 明朝"/>
      <family val="1"/>
      <charset val="128"/>
    </font>
    <font>
      <sz val="10"/>
      <name val="ＭＳ 明朝"/>
      <family val="1"/>
      <charset val="128"/>
    </font>
    <font>
      <sz val="11"/>
      <name val="ＭＳ 明朝"/>
      <family val="1"/>
      <charset val="128"/>
    </font>
    <font>
      <b/>
      <sz val="16"/>
      <name val="ＭＳ Ｐ明朝"/>
      <family val="1"/>
      <charset val="128"/>
    </font>
    <font>
      <sz val="12"/>
      <name val="ＭＳ Ｐ明朝"/>
      <family val="1"/>
      <charset val="128"/>
    </font>
    <font>
      <sz val="10"/>
      <name val="ＭＳ Ｐ明朝"/>
      <family val="1"/>
      <charset val="128"/>
    </font>
    <font>
      <sz val="13"/>
      <name val="ＭＳ Ｐ明朝"/>
      <family val="1"/>
      <charset val="128"/>
    </font>
    <font>
      <b/>
      <sz val="13"/>
      <name val="ＭＳ 明朝"/>
      <family val="1"/>
      <charset val="128"/>
    </font>
    <font>
      <sz val="11"/>
      <name val="ＭＳ Ｐゴシック"/>
      <family val="3"/>
      <charset val="128"/>
    </font>
    <font>
      <b/>
      <sz val="16"/>
      <name val="ＭＳ 明朝"/>
      <family val="1"/>
      <charset val="128"/>
    </font>
    <font>
      <sz val="12"/>
      <color indexed="10"/>
      <name val="ＭＳ 明朝"/>
      <family val="1"/>
      <charset val="128"/>
    </font>
    <font>
      <b/>
      <sz val="11"/>
      <color indexed="8"/>
      <name val="Meiryo UI"/>
      <family val="3"/>
      <charset val="128"/>
    </font>
    <font>
      <sz val="11"/>
      <color indexed="8"/>
      <name val="Meiryo UI"/>
      <family val="3"/>
      <charset val="128"/>
    </font>
    <font>
      <sz val="6"/>
      <name val="ＭＳ Ｐゴシック"/>
      <family val="3"/>
      <charset val="128"/>
    </font>
    <font>
      <sz val="8"/>
      <name val="ＭＳ 明朝"/>
      <family val="1"/>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明朝"/>
      <family val="1"/>
      <charset val="128"/>
    </font>
    <font>
      <b/>
      <sz val="11"/>
      <color indexed="56"/>
      <name val="ＭＳ Ｐゴシック"/>
      <family val="3"/>
      <charset val="128"/>
    </font>
    <font>
      <b/>
      <sz val="13"/>
      <color indexed="56"/>
      <name val="ＭＳ Ｐゴシック"/>
      <family val="3"/>
      <charset val="128"/>
    </font>
    <font>
      <b/>
      <sz val="15"/>
      <color indexed="56"/>
      <name val="ＭＳ Ｐゴシック"/>
      <family val="3"/>
      <charset val="128"/>
    </font>
    <font>
      <b/>
      <sz val="18"/>
      <color indexed="56"/>
      <name val="ＭＳ Ｐゴシック"/>
      <family val="3"/>
      <charset val="128"/>
    </font>
    <font>
      <sz val="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b/>
      <sz val="14"/>
      <color theme="1"/>
      <name val="ＭＳ Ｐ明朝"/>
      <family val="1"/>
      <charset val="128"/>
    </font>
    <font>
      <b/>
      <sz val="14"/>
      <color theme="1"/>
      <name val="ＭＳ Ｐゴシック"/>
      <family val="3"/>
      <charset val="128"/>
      <scheme val="minor"/>
    </font>
    <font>
      <sz val="8"/>
      <color rgb="FFFF0000"/>
      <name val="ＭＳ Ｐゴシック"/>
      <family val="3"/>
      <charset val="128"/>
      <scheme val="minor"/>
    </font>
    <font>
      <sz val="11"/>
      <color theme="1"/>
      <name val="Meiryo UI"/>
      <family val="3"/>
      <charset val="128"/>
    </font>
    <font>
      <sz val="11"/>
      <name val="ＭＳ Ｐゴシック"/>
      <family val="3"/>
      <charset val="128"/>
      <scheme val="minor"/>
    </font>
    <font>
      <sz val="13"/>
      <name val="HGSｺﾞｼｯｸM"/>
      <family val="3"/>
      <charset val="128"/>
    </font>
    <font>
      <b/>
      <sz val="18"/>
      <name val="HGSｺﾞｼｯｸM"/>
      <family val="3"/>
      <charset val="128"/>
    </font>
    <font>
      <b/>
      <sz val="14"/>
      <name val="HGSｺﾞｼｯｸM"/>
      <family val="3"/>
      <charset val="128"/>
    </font>
    <font>
      <b/>
      <sz val="16"/>
      <color rgb="FFFF0000"/>
      <name val="HGSｺﾞｼｯｸM"/>
      <family val="3"/>
      <charset val="128"/>
    </font>
    <font>
      <b/>
      <sz val="13"/>
      <name val="HGSｺﾞｼｯｸM"/>
      <family val="3"/>
      <charset val="128"/>
    </font>
    <font>
      <b/>
      <sz val="10"/>
      <name val="HGSｺﾞｼｯｸM"/>
      <family val="3"/>
      <charset val="128"/>
    </font>
    <font>
      <sz val="11"/>
      <color theme="1"/>
      <name val="HGSｺﾞｼｯｸM"/>
      <family val="3"/>
      <charset val="128"/>
    </font>
    <font>
      <b/>
      <sz val="12"/>
      <name val="HGSｺﾞｼｯｸM"/>
      <family val="3"/>
      <charset val="128"/>
    </font>
    <font>
      <b/>
      <sz val="11"/>
      <name val="HGSｺﾞｼｯｸM"/>
      <family val="3"/>
      <charset val="128"/>
    </font>
    <font>
      <b/>
      <sz val="8"/>
      <name val="HGSｺﾞｼｯｸM"/>
      <family val="3"/>
      <charset val="128"/>
    </font>
    <font>
      <sz val="11"/>
      <name val="HGSｺﾞｼｯｸM"/>
      <family val="3"/>
      <charset val="128"/>
    </font>
    <font>
      <sz val="10"/>
      <name val="HGSｺﾞｼｯｸM"/>
      <family val="3"/>
      <charset val="128"/>
    </font>
    <font>
      <sz val="12"/>
      <name val="HGSｺﾞｼｯｸM"/>
      <family val="3"/>
      <charset val="128"/>
    </font>
    <font>
      <sz val="9"/>
      <name val="HGSｺﾞｼｯｸM"/>
      <family val="3"/>
      <charset val="128"/>
    </font>
    <font>
      <sz val="10"/>
      <color indexed="10"/>
      <name val="HGSｺﾞｼｯｸM"/>
      <family val="3"/>
      <charset val="128"/>
    </font>
    <font>
      <b/>
      <sz val="12"/>
      <color theme="1"/>
      <name val="HGSｺﾞｼｯｸM"/>
      <family val="3"/>
      <charset val="128"/>
    </font>
    <font>
      <sz val="10"/>
      <color rgb="FFFF0000"/>
      <name val="HGSｺﾞｼｯｸM"/>
      <family val="3"/>
      <charset val="128"/>
    </font>
    <font>
      <b/>
      <sz val="16"/>
      <name val="HGSｺﾞｼｯｸM"/>
      <family val="3"/>
      <charset val="128"/>
    </font>
    <font>
      <sz val="12"/>
      <color theme="1"/>
      <name val="HGSｺﾞｼｯｸM"/>
      <family val="3"/>
      <charset val="128"/>
    </font>
    <font>
      <sz val="12"/>
      <color rgb="FF0070C0"/>
      <name val="HGSｺﾞｼｯｸM"/>
      <family val="3"/>
      <charset val="128"/>
    </font>
    <font>
      <sz val="11"/>
      <color indexed="8"/>
      <name val="HGSｺﾞｼｯｸM"/>
      <family val="3"/>
      <charset val="128"/>
    </font>
    <font>
      <sz val="11"/>
      <color rgb="FF00B0F0"/>
      <name val="ＭＳ 明朝"/>
      <family val="1"/>
      <charset val="128"/>
    </font>
    <font>
      <sz val="6"/>
      <name val="ＭＳ Ｐゴシック"/>
      <family val="3"/>
      <charset val="128"/>
      <scheme val="minor"/>
    </font>
    <font>
      <sz val="11"/>
      <color indexed="8"/>
      <name val="ＭＳ 明朝"/>
      <family val="1"/>
      <charset val="128"/>
    </font>
    <font>
      <sz val="11"/>
      <color rgb="FF000000"/>
      <name val="ＭＳ 明朝"/>
      <family val="1"/>
      <charset val="128"/>
    </font>
    <font>
      <sz val="11"/>
      <color rgb="FF000000"/>
      <name val="ＭＳ 明朝"/>
      <family val="1"/>
      <charset val="1"/>
    </font>
    <font>
      <sz val="10"/>
      <color rgb="FF000000"/>
      <name val="ＭＳ 明朝"/>
      <family val="1"/>
      <charset val="128"/>
    </font>
    <font>
      <sz val="10"/>
      <color theme="1"/>
      <name val="ＭＳ Ｐゴシック"/>
      <family val="3"/>
      <charset val="128"/>
      <scheme val="minor"/>
    </font>
    <font>
      <sz val="10"/>
      <name val="Noto Sans JP"/>
      <family val="2"/>
      <charset val="128"/>
    </font>
    <font>
      <b/>
      <sz val="11"/>
      <name val="ＭＳ 明朝"/>
      <family val="1"/>
      <charset val="128"/>
    </font>
    <font>
      <b/>
      <sz val="10"/>
      <color rgb="FF000000"/>
      <name val="ＭＳ 明朝"/>
      <family val="1"/>
      <charset val="128"/>
    </font>
    <font>
      <b/>
      <sz val="11"/>
      <color rgb="FF000000"/>
      <name val="ＭＳ 明朝"/>
      <family val="1"/>
      <charset val="128"/>
    </font>
    <font>
      <sz val="9"/>
      <name val="ＭＳ 明朝"/>
      <family val="1"/>
      <charset val="128"/>
    </font>
    <font>
      <sz val="9"/>
      <color rgb="FF000000"/>
      <name val="ＭＳ 明朝"/>
      <family val="1"/>
      <charset val="128"/>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gray125">
        <bgColor theme="0"/>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rgb="FFFFFF38"/>
        <bgColor rgb="FFFFFF00"/>
      </patternFill>
    </fill>
  </fills>
  <borders count="1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right/>
      <top style="hair">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style="medium">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double">
        <color indexed="64"/>
      </left>
      <right style="medium">
        <color indexed="64"/>
      </right>
      <top style="medium">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8"/>
      </left>
      <right style="thin">
        <color indexed="8"/>
      </right>
      <top/>
      <bottom style="thin">
        <color indexed="8"/>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indexed="8"/>
      </left>
      <right style="thin">
        <color indexed="8"/>
      </right>
      <top style="thin">
        <color indexed="8"/>
      </top>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8"/>
      </right>
      <top/>
      <bottom style="thin">
        <color indexed="8"/>
      </bottom>
      <diagonal/>
    </border>
    <border>
      <left style="thin">
        <color auto="1"/>
      </left>
      <right/>
      <top/>
      <bottom style="thin">
        <color auto="1"/>
      </bottom>
      <diagonal/>
    </border>
    <border>
      <left style="medium">
        <color indexed="64"/>
      </left>
      <right/>
      <top/>
      <bottom style="double">
        <color indexed="64"/>
      </bottom>
      <diagonal/>
    </border>
    <border>
      <left/>
      <right style="thin">
        <color indexed="64"/>
      </right>
      <top/>
      <bottom style="double">
        <color indexed="64"/>
      </bottom>
      <diagonal/>
    </border>
    <border>
      <left style="thin">
        <color auto="1"/>
      </left>
      <right style="thin">
        <color auto="1"/>
      </right>
      <top/>
      <bottom style="double">
        <color indexed="64"/>
      </bottom>
      <diagonal/>
    </border>
    <border>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hair">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diagonal/>
    </border>
    <border>
      <left style="thin">
        <color indexed="64"/>
      </left>
      <right/>
      <top style="thin">
        <color indexed="64"/>
      </top>
      <bottom/>
      <diagonal/>
    </border>
    <border>
      <left style="thin">
        <color indexed="8"/>
      </left>
      <right style="thin">
        <color indexed="64"/>
      </right>
      <top style="medium">
        <color indexed="64"/>
      </top>
      <bottom style="thin">
        <color indexed="8"/>
      </bottom>
      <diagonal/>
    </border>
    <border>
      <left style="thin">
        <color indexed="8"/>
      </left>
      <right style="thin">
        <color indexed="64"/>
      </right>
      <top style="thin">
        <color indexed="8"/>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style="thin">
        <color indexed="64"/>
      </left>
      <right style="thin">
        <color auto="1"/>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0">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23" fillId="12"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9" borderId="0" applyNumberFormat="0" applyBorder="0" applyAlignment="0" applyProtection="0">
      <alignment vertical="center"/>
    </xf>
    <xf numFmtId="0" fontId="39" fillId="0" borderId="0" applyNumberFormat="0" applyFill="0" applyBorder="0" applyAlignment="0" applyProtection="0">
      <alignment vertical="center"/>
    </xf>
    <xf numFmtId="0" fontId="24" fillId="20" borderId="1" applyNumberFormat="0" applyAlignment="0" applyProtection="0">
      <alignment vertical="center"/>
    </xf>
    <xf numFmtId="0" fontId="25" fillId="21" borderId="0" applyNumberFormat="0" applyBorder="0" applyAlignment="0" applyProtection="0">
      <alignment vertical="center"/>
    </xf>
    <xf numFmtId="0" fontId="8" fillId="22" borderId="2" applyNumberFormat="0" applyFont="0" applyAlignment="0" applyProtection="0">
      <alignment vertical="center"/>
    </xf>
    <xf numFmtId="0" fontId="26" fillId="0" borderId="3" applyNumberFormat="0" applyFill="0" applyAlignment="0" applyProtection="0">
      <alignment vertical="center"/>
    </xf>
    <xf numFmtId="0" fontId="27" fillId="3" borderId="0" applyNumberFormat="0" applyBorder="0" applyAlignment="0" applyProtection="0">
      <alignment vertical="center"/>
    </xf>
    <xf numFmtId="0" fontId="28" fillId="23" borderId="4" applyNumberFormat="0" applyAlignment="0" applyProtection="0">
      <alignment vertical="center"/>
    </xf>
    <xf numFmtId="0" fontId="29" fillId="0" borderId="0" applyNumberFormat="0" applyFill="0" applyBorder="0" applyAlignment="0" applyProtection="0">
      <alignment vertical="center"/>
    </xf>
    <xf numFmtId="0" fontId="38" fillId="0" borderId="5" applyNumberFormat="0" applyFill="0" applyAlignment="0" applyProtection="0">
      <alignment vertical="center"/>
    </xf>
    <xf numFmtId="0" fontId="37" fillId="0" borderId="6" applyNumberFormat="0" applyFill="0" applyAlignment="0" applyProtection="0">
      <alignment vertical="center"/>
    </xf>
    <xf numFmtId="0" fontId="36" fillId="0" borderId="7" applyNumberFormat="0" applyFill="0" applyAlignment="0" applyProtection="0">
      <alignment vertical="center"/>
    </xf>
    <xf numFmtId="0" fontId="36"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41" fillId="0" borderId="0">
      <alignment vertical="center"/>
    </xf>
    <xf numFmtId="0" fontId="16" fillId="0" borderId="0"/>
    <xf numFmtId="0" fontId="8" fillId="0" borderId="0"/>
    <xf numFmtId="0" fontId="35" fillId="0" borderId="0"/>
    <xf numFmtId="0" fontId="34" fillId="4" borderId="0" applyNumberFormat="0" applyBorder="0" applyAlignment="0" applyProtection="0">
      <alignment vertical="center"/>
    </xf>
    <xf numFmtId="38" fontId="41" fillId="0" borderId="0" applyFont="0" applyFill="0" applyBorder="0" applyAlignment="0" applyProtection="0">
      <alignment vertical="center"/>
    </xf>
    <xf numFmtId="0" fontId="2" fillId="0" borderId="0">
      <alignment vertical="center"/>
    </xf>
    <xf numFmtId="0" fontId="1" fillId="0" borderId="0">
      <alignment vertical="center"/>
    </xf>
    <xf numFmtId="0" fontId="76" fillId="0" borderId="0"/>
  </cellStyleXfs>
  <cellXfs count="646">
    <xf numFmtId="0" fontId="0" fillId="0" borderId="0" xfId="0">
      <alignment vertical="center"/>
    </xf>
    <xf numFmtId="0" fontId="8" fillId="0" borderId="0" xfId="0" applyFont="1" applyAlignment="1"/>
    <xf numFmtId="0" fontId="10" fillId="0" borderId="0" xfId="0" applyFont="1" applyAlignment="1"/>
    <xf numFmtId="0" fontId="0" fillId="0" borderId="16" xfId="0" applyBorder="1" applyAlignment="1">
      <alignment horizontal="center" vertical="center"/>
    </xf>
    <xf numFmtId="0" fontId="0" fillId="0" borderId="17" xfId="0" applyBorder="1">
      <alignment vertical="center"/>
    </xf>
    <xf numFmtId="0" fontId="0" fillId="0" borderId="20" xfId="0" applyBorder="1">
      <alignment vertical="center"/>
    </xf>
    <xf numFmtId="0" fontId="0" fillId="0" borderId="19" xfId="0" applyBorder="1" applyAlignment="1">
      <alignment horizontal="center" vertical="center"/>
    </xf>
    <xf numFmtId="176" fontId="14" fillId="0" borderId="0" xfId="0" applyNumberFormat="1" applyFont="1" applyAlignment="1">
      <alignment horizontal="center"/>
    </xf>
    <xf numFmtId="0" fontId="0" fillId="0" borderId="21" xfId="0" applyBorder="1">
      <alignment vertical="center"/>
    </xf>
    <xf numFmtId="0" fontId="0" fillId="0" borderId="22" xfId="0" applyBorder="1">
      <alignment vertical="center"/>
    </xf>
    <xf numFmtId="0" fontId="4" fillId="0" borderId="16" xfId="0" applyFont="1" applyBorder="1" applyAlignment="1">
      <alignment horizontal="center"/>
    </xf>
    <xf numFmtId="0" fontId="0" fillId="0" borderId="20" xfId="0" applyBorder="1" applyAlignment="1">
      <alignment horizontal="center" vertical="center"/>
    </xf>
    <xf numFmtId="0" fontId="0" fillId="0" borderId="14" xfId="0" applyBorder="1">
      <alignment vertical="center"/>
    </xf>
    <xf numFmtId="0" fontId="0" fillId="0" borderId="33" xfId="0" applyBorder="1">
      <alignment vertical="center"/>
    </xf>
    <xf numFmtId="0" fontId="0" fillId="0" borderId="0" xfId="0" applyAlignment="1">
      <alignment horizontal="center" vertical="center"/>
    </xf>
    <xf numFmtId="0" fontId="45" fillId="0" borderId="0" xfId="0" applyFont="1">
      <alignment vertical="center"/>
    </xf>
    <xf numFmtId="0" fontId="17" fillId="0" borderId="0" xfId="0" applyFont="1" applyAlignment="1"/>
    <xf numFmtId="0" fontId="10" fillId="0" borderId="0" xfId="0" applyFont="1" applyAlignment="1">
      <alignment horizontal="center"/>
    </xf>
    <xf numFmtId="0" fontId="10" fillId="0" borderId="0" xfId="0" applyFont="1" applyAlignment="1">
      <alignment shrinkToFit="1"/>
    </xf>
    <xf numFmtId="56" fontId="10" fillId="0" borderId="57" xfId="0" applyNumberFormat="1" applyFont="1" applyBorder="1" applyAlignment="1">
      <alignment vertical="center" shrinkToFit="1"/>
    </xf>
    <xf numFmtId="183" fontId="10" fillId="0" borderId="58" xfId="0" applyNumberFormat="1" applyFont="1" applyBorder="1" applyAlignment="1">
      <alignment vertical="center" shrinkToFit="1"/>
    </xf>
    <xf numFmtId="183" fontId="10" fillId="0" borderId="59" xfId="0" applyNumberFormat="1" applyFont="1" applyBorder="1" applyAlignment="1">
      <alignment vertical="center" shrinkToFit="1"/>
    </xf>
    <xf numFmtId="0" fontId="8" fillId="0" borderId="60" xfId="0" applyFont="1" applyBorder="1" applyAlignment="1">
      <alignment horizontal="center" vertical="center" shrinkToFit="1"/>
    </xf>
    <xf numFmtId="0" fontId="10" fillId="0" borderId="61" xfId="0" applyFont="1" applyBorder="1" applyAlignment="1">
      <alignment horizontal="center" vertical="center" shrinkToFit="1"/>
    </xf>
    <xf numFmtId="176" fontId="8" fillId="0" borderId="62" xfId="0" applyNumberFormat="1" applyFont="1" applyBorder="1" applyAlignment="1">
      <alignment horizontal="center" vertical="center" shrinkToFit="1"/>
    </xf>
    <xf numFmtId="0" fontId="8" fillId="0" borderId="63" xfId="0" applyFont="1" applyBorder="1" applyAlignment="1">
      <alignment horizontal="center" vertical="center" shrinkToFit="1"/>
    </xf>
    <xf numFmtId="0" fontId="8" fillId="0" borderId="64" xfId="0" applyFont="1" applyBorder="1" applyAlignment="1">
      <alignment horizontal="center" vertical="center" shrinkToFit="1"/>
    </xf>
    <xf numFmtId="176" fontId="8" fillId="0" borderId="65" xfId="0" applyNumberFormat="1" applyFont="1" applyBorder="1" applyAlignment="1">
      <alignment horizontal="center" vertical="center" shrinkToFit="1"/>
    </xf>
    <xf numFmtId="0" fontId="8" fillId="0" borderId="66" xfId="0" applyFont="1" applyBorder="1" applyAlignment="1">
      <alignment horizontal="center" vertical="center" shrinkToFit="1"/>
    </xf>
    <xf numFmtId="0" fontId="8" fillId="0" borderId="67" xfId="0" applyFont="1" applyBorder="1" applyAlignment="1">
      <alignment horizontal="center" vertical="center" shrinkToFit="1"/>
    </xf>
    <xf numFmtId="0" fontId="8" fillId="0" borderId="68" xfId="0" applyFont="1" applyBorder="1" applyAlignment="1">
      <alignment horizontal="center" vertical="center" shrinkToFit="1"/>
    </xf>
    <xf numFmtId="176" fontId="8" fillId="0" borderId="66" xfId="0" applyNumberFormat="1" applyFont="1" applyBorder="1" applyAlignment="1">
      <alignment horizontal="center" vertical="center" shrinkToFit="1"/>
    </xf>
    <xf numFmtId="176" fontId="8" fillId="0" borderId="68" xfId="0" applyNumberFormat="1" applyFont="1" applyBorder="1" applyAlignment="1">
      <alignment horizontal="center" vertical="center" shrinkToFit="1"/>
    </xf>
    <xf numFmtId="176" fontId="8" fillId="0" borderId="69" xfId="0" applyNumberFormat="1" applyFont="1" applyBorder="1" applyAlignment="1">
      <alignment horizontal="center" vertical="center" shrinkToFit="1"/>
    </xf>
    <xf numFmtId="176" fontId="8" fillId="0" borderId="70" xfId="0" applyNumberFormat="1" applyFont="1" applyBorder="1" applyAlignment="1">
      <alignment horizontal="center" vertical="center" shrinkToFit="1"/>
    </xf>
    <xf numFmtId="0" fontId="8" fillId="0" borderId="71" xfId="0" applyFont="1" applyBorder="1" applyAlignment="1">
      <alignment horizontal="center" vertical="center" shrinkToFit="1"/>
    </xf>
    <xf numFmtId="176" fontId="8" fillId="0" borderId="72" xfId="0" applyNumberFormat="1" applyFont="1" applyBorder="1" applyAlignment="1">
      <alignment horizontal="center" vertical="center" shrinkToFit="1"/>
    </xf>
    <xf numFmtId="176" fontId="8" fillId="0" borderId="73" xfId="0" applyNumberFormat="1" applyFont="1" applyBorder="1" applyAlignment="1">
      <alignment horizontal="center" vertical="center" shrinkToFit="1"/>
    </xf>
    <xf numFmtId="0" fontId="8" fillId="0" borderId="74" xfId="0" applyFont="1" applyBorder="1" applyAlignment="1">
      <alignment horizontal="center" vertical="center" shrinkToFit="1"/>
    </xf>
    <xf numFmtId="176" fontId="8" fillId="0" borderId="75" xfId="0" applyNumberFormat="1" applyFont="1" applyBorder="1" applyAlignment="1">
      <alignment horizontal="center" vertical="center" shrinkToFit="1"/>
    </xf>
    <xf numFmtId="0" fontId="8" fillId="0" borderId="0" xfId="0" applyFont="1" applyAlignment="1">
      <alignment shrinkToFit="1"/>
    </xf>
    <xf numFmtId="176" fontId="8" fillId="0" borderId="0" xfId="0" applyNumberFormat="1" applyFont="1" applyAlignment="1">
      <alignment horizontal="center" vertical="center" shrinkToFit="1"/>
    </xf>
    <xf numFmtId="0" fontId="8" fillId="0" borderId="0" xfId="0" applyFont="1" applyAlignment="1">
      <alignment horizontal="center" vertical="center" shrinkToFit="1"/>
    </xf>
    <xf numFmtId="0" fontId="0" fillId="0" borderId="0" xfId="0" applyAlignment="1"/>
    <xf numFmtId="14" fontId="0" fillId="0" borderId="0" xfId="0" applyNumberFormat="1" applyAlignment="1"/>
    <xf numFmtId="0" fontId="0" fillId="0" borderId="22" xfId="0" applyBorder="1" applyAlignment="1"/>
    <xf numFmtId="0" fontId="19" fillId="0" borderId="0" xfId="0" applyFont="1" applyAlignment="1">
      <alignment horizontal="right" vertical="center"/>
    </xf>
    <xf numFmtId="31" fontId="20" fillId="0" borderId="0" xfId="0" applyNumberFormat="1" applyFont="1" applyAlignment="1">
      <alignment horizontal="right" vertical="center"/>
    </xf>
    <xf numFmtId="0" fontId="46" fillId="0" borderId="0" xfId="0" applyFont="1">
      <alignment vertical="center"/>
    </xf>
    <xf numFmtId="0" fontId="19" fillId="0" borderId="0" xfId="0" applyFont="1" applyAlignment="1">
      <alignment horizontal="center" vertical="center"/>
    </xf>
    <xf numFmtId="0" fontId="19" fillId="0" borderId="89" xfId="0" applyFont="1" applyBorder="1" applyAlignment="1">
      <alignment horizontal="center" vertical="center"/>
    </xf>
    <xf numFmtId="0" fontId="46" fillId="0" borderId="0" xfId="0" applyFont="1" applyAlignment="1">
      <alignment horizontal="center" vertical="center"/>
    </xf>
    <xf numFmtId="0" fontId="46" fillId="0" borderId="14" xfId="0" applyFont="1" applyBorder="1" applyAlignment="1">
      <alignment horizontal="center" vertical="center"/>
    </xf>
    <xf numFmtId="0" fontId="46" fillId="24" borderId="60" xfId="0" applyFont="1" applyFill="1" applyBorder="1" applyAlignment="1">
      <alignment horizontal="right" vertical="center"/>
    </xf>
    <xf numFmtId="0" fontId="46" fillId="25" borderId="14" xfId="0" applyFont="1" applyFill="1" applyBorder="1" applyAlignment="1">
      <alignment horizontal="left" vertical="center"/>
    </xf>
    <xf numFmtId="0" fontId="46" fillId="0" borderId="0" xfId="0" applyFont="1" applyAlignment="1">
      <alignment horizontal="right" vertical="center"/>
    </xf>
    <xf numFmtId="0" fontId="20" fillId="0" borderId="0" xfId="0" applyFont="1" applyAlignment="1">
      <alignment horizontal="left" vertical="center"/>
    </xf>
    <xf numFmtId="0" fontId="46" fillId="0" borderId="0" xfId="0" applyFont="1" applyAlignment="1">
      <alignment horizontal="left" vertical="center"/>
    </xf>
    <xf numFmtId="14" fontId="46" fillId="24" borderId="94" xfId="0" applyNumberFormat="1" applyFont="1" applyFill="1" applyBorder="1" applyAlignment="1">
      <alignment horizontal="left" vertical="center"/>
    </xf>
    <xf numFmtId="0" fontId="48" fillId="24" borderId="0" xfId="0" applyFont="1" applyFill="1" applyAlignment="1"/>
    <xf numFmtId="55" fontId="48" fillId="24" borderId="0" xfId="0" applyNumberFormat="1" applyFont="1" applyFill="1" applyAlignment="1"/>
    <xf numFmtId="49" fontId="49" fillId="24" borderId="0" xfId="0" applyNumberFormat="1" applyFont="1" applyFill="1" applyAlignment="1">
      <alignment horizontal="center" vertical="top"/>
    </xf>
    <xf numFmtId="49" fontId="49" fillId="24" borderId="0" xfId="0" applyNumberFormat="1" applyFont="1" applyFill="1" applyAlignment="1">
      <alignment vertical="top"/>
    </xf>
    <xf numFmtId="55" fontId="50" fillId="24" borderId="0" xfId="0" applyNumberFormat="1" applyFont="1" applyFill="1" applyAlignment="1">
      <alignment horizontal="center" vertical="top"/>
    </xf>
    <xf numFmtId="0" fontId="51" fillId="24" borderId="0" xfId="0" applyFont="1" applyFill="1" applyAlignment="1"/>
    <xf numFmtId="0" fontId="52" fillId="26" borderId="15" xfId="0" applyFont="1" applyFill="1" applyBorder="1" applyAlignment="1">
      <alignment horizontal="center" vertical="center"/>
    </xf>
    <xf numFmtId="0" fontId="53" fillId="26" borderId="32" xfId="0" applyFont="1" applyFill="1" applyBorder="1" applyAlignment="1">
      <alignment horizontal="center" vertical="center"/>
    </xf>
    <xf numFmtId="0" fontId="54" fillId="24" borderId="0" xfId="0" applyFont="1" applyFill="1">
      <alignment vertical="center"/>
    </xf>
    <xf numFmtId="0" fontId="49" fillId="24" borderId="0" xfId="0" applyFont="1" applyFill="1" applyAlignment="1">
      <alignment horizontal="center"/>
    </xf>
    <xf numFmtId="0" fontId="55" fillId="26" borderId="22" xfId="0" applyFont="1" applyFill="1" applyBorder="1" applyAlignment="1">
      <alignment horizontal="center" vertical="center"/>
    </xf>
    <xf numFmtId="182" fontId="55" fillId="24" borderId="33" xfId="0" applyNumberFormat="1" applyFont="1" applyFill="1" applyBorder="1" applyAlignment="1">
      <alignment horizontal="center" vertical="center"/>
    </xf>
    <xf numFmtId="0" fontId="55" fillId="26" borderId="33" xfId="0" applyFont="1" applyFill="1" applyBorder="1" applyAlignment="1">
      <alignment horizontal="center" vertical="center"/>
    </xf>
    <xf numFmtId="0" fontId="52" fillId="24" borderId="35" xfId="0" applyFont="1" applyFill="1" applyBorder="1" applyAlignment="1">
      <alignment horizontal="left" vertical="center"/>
    </xf>
    <xf numFmtId="0" fontId="55" fillId="24" borderId="30" xfId="0" applyFont="1" applyFill="1" applyBorder="1" applyAlignment="1">
      <alignment horizontal="left"/>
    </xf>
    <xf numFmtId="0" fontId="55" fillId="24" borderId="31" xfId="0" applyFont="1" applyFill="1" applyBorder="1" applyAlignment="1">
      <alignment horizontal="center"/>
    </xf>
    <xf numFmtId="0" fontId="53" fillId="24" borderId="31" xfId="0" applyFont="1" applyFill="1" applyBorder="1" applyAlignment="1">
      <alignment horizontal="left"/>
    </xf>
    <xf numFmtId="0" fontId="58" fillId="24" borderId="23" xfId="0" applyFont="1" applyFill="1" applyBorder="1" applyAlignment="1"/>
    <xf numFmtId="0" fontId="58" fillId="24" borderId="24" xfId="0" applyFont="1" applyFill="1" applyBorder="1" applyAlignment="1">
      <alignment horizontal="center"/>
    </xf>
    <xf numFmtId="0" fontId="58" fillId="24" borderId="24" xfId="0" applyFont="1" applyFill="1" applyBorder="1" applyAlignment="1"/>
    <xf numFmtId="0" fontId="58" fillId="24" borderId="24" xfId="0" applyFont="1" applyFill="1" applyBorder="1" applyAlignment="1">
      <alignment horizontal="right"/>
    </xf>
    <xf numFmtId="0" fontId="59" fillId="24" borderId="88" xfId="0" applyFont="1" applyFill="1" applyBorder="1" applyAlignment="1"/>
    <xf numFmtId="0" fontId="60" fillId="24" borderId="25" xfId="0" applyFont="1" applyFill="1" applyBorder="1" applyAlignment="1"/>
    <xf numFmtId="0" fontId="60" fillId="24" borderId="36" xfId="0" quotePrefix="1" applyFont="1" applyFill="1" applyBorder="1" applyAlignment="1">
      <alignment horizontal="center"/>
    </xf>
    <xf numFmtId="176" fontId="60" fillId="24" borderId="10" xfId="0" applyNumberFormat="1" applyFont="1" applyFill="1" applyBorder="1" applyAlignment="1"/>
    <xf numFmtId="0" fontId="60" fillId="24" borderId="10" xfId="0" applyFont="1" applyFill="1" applyBorder="1" applyAlignment="1">
      <alignment horizontal="left"/>
    </xf>
    <xf numFmtId="0" fontId="60" fillId="24" borderId="10" xfId="0" applyFont="1" applyFill="1" applyBorder="1" applyAlignment="1">
      <alignment horizontal="center"/>
    </xf>
    <xf numFmtId="21" fontId="60" fillId="24" borderId="10" xfId="0" applyNumberFormat="1" applyFont="1" applyFill="1" applyBorder="1" applyAlignment="1">
      <alignment horizontal="center"/>
    </xf>
    <xf numFmtId="178" fontId="60" fillId="24" borderId="10" xfId="0" applyNumberFormat="1" applyFont="1" applyFill="1" applyBorder="1" applyAlignment="1">
      <alignment horizontal="right"/>
    </xf>
    <xf numFmtId="176" fontId="60" fillId="24" borderId="10" xfId="0" applyNumberFormat="1" applyFont="1" applyFill="1" applyBorder="1" applyAlignment="1">
      <alignment horizontal="right"/>
    </xf>
    <xf numFmtId="179" fontId="60" fillId="24" borderId="10" xfId="0" applyNumberFormat="1" applyFont="1" applyFill="1" applyBorder="1" applyAlignment="1"/>
    <xf numFmtId="177" fontId="60" fillId="24" borderId="10" xfId="0" applyNumberFormat="1" applyFont="1" applyFill="1" applyBorder="1" applyAlignment="1"/>
    <xf numFmtId="0" fontId="60" fillId="24" borderId="26" xfId="0" applyFont="1" applyFill="1" applyBorder="1" applyAlignment="1"/>
    <xf numFmtId="0" fontId="60" fillId="24" borderId="37" xfId="0" quotePrefix="1" applyFont="1" applyFill="1" applyBorder="1" applyAlignment="1">
      <alignment horizontal="center"/>
    </xf>
    <xf numFmtId="176" fontId="60" fillId="24" borderId="11" xfId="0" applyNumberFormat="1" applyFont="1" applyFill="1" applyBorder="1" applyAlignment="1"/>
    <xf numFmtId="0" fontId="60" fillId="24" borderId="11" xfId="0" applyFont="1" applyFill="1" applyBorder="1" applyAlignment="1">
      <alignment horizontal="left"/>
    </xf>
    <xf numFmtId="0" fontId="60" fillId="24" borderId="11" xfId="0" applyFont="1" applyFill="1" applyBorder="1" applyAlignment="1">
      <alignment horizontal="center"/>
    </xf>
    <xf numFmtId="21" fontId="60" fillId="24" borderId="11" xfId="0" applyNumberFormat="1" applyFont="1" applyFill="1" applyBorder="1" applyAlignment="1">
      <alignment horizontal="center"/>
    </xf>
    <xf numFmtId="178" fontId="60" fillId="24" borderId="11" xfId="0" applyNumberFormat="1" applyFont="1" applyFill="1" applyBorder="1" applyAlignment="1">
      <alignment horizontal="right"/>
    </xf>
    <xf numFmtId="176" fontId="60" fillId="24" borderId="11" xfId="0" applyNumberFormat="1" applyFont="1" applyFill="1" applyBorder="1" applyAlignment="1">
      <alignment horizontal="right"/>
    </xf>
    <xf numFmtId="179" fontId="60" fillId="24" borderId="11" xfId="0" applyNumberFormat="1" applyFont="1" applyFill="1" applyBorder="1" applyAlignment="1"/>
    <xf numFmtId="177" fontId="60" fillId="24" borderId="11" xfId="0" applyNumberFormat="1" applyFont="1" applyFill="1" applyBorder="1" applyAlignment="1"/>
    <xf numFmtId="21" fontId="60" fillId="24" borderId="66" xfId="0" applyNumberFormat="1" applyFont="1" applyFill="1" applyBorder="1" applyAlignment="1">
      <alignment horizontal="center"/>
    </xf>
    <xf numFmtId="0" fontId="60" fillId="24" borderId="27" xfId="0" applyFont="1" applyFill="1" applyBorder="1" applyAlignment="1"/>
    <xf numFmtId="0" fontId="60" fillId="24" borderId="38" xfId="0" quotePrefix="1" applyFont="1" applyFill="1" applyBorder="1" applyAlignment="1">
      <alignment horizontal="center"/>
    </xf>
    <xf numFmtId="176" fontId="60" fillId="24" borderId="12" xfId="0" applyNumberFormat="1" applyFont="1" applyFill="1" applyBorder="1" applyAlignment="1"/>
    <xf numFmtId="0" fontId="60" fillId="24" borderId="12" xfId="0" applyFont="1" applyFill="1" applyBorder="1" applyAlignment="1">
      <alignment horizontal="left"/>
    </xf>
    <xf numFmtId="0" fontId="60" fillId="24" borderId="12" xfId="0" applyFont="1" applyFill="1" applyBorder="1" applyAlignment="1">
      <alignment horizontal="center"/>
    </xf>
    <xf numFmtId="21" fontId="60" fillId="24" borderId="12" xfId="0" applyNumberFormat="1" applyFont="1" applyFill="1" applyBorder="1" applyAlignment="1">
      <alignment horizontal="center"/>
    </xf>
    <xf numFmtId="176" fontId="60" fillId="24" borderId="48" xfId="0" applyNumberFormat="1" applyFont="1" applyFill="1" applyBorder="1" applyAlignment="1"/>
    <xf numFmtId="178" fontId="60" fillId="24" borderId="48" xfId="0" applyNumberFormat="1" applyFont="1" applyFill="1" applyBorder="1" applyAlignment="1">
      <alignment horizontal="right"/>
    </xf>
    <xf numFmtId="0" fontId="60" fillId="24" borderId="48" xfId="0" applyFont="1" applyFill="1" applyBorder="1" applyAlignment="1">
      <alignment horizontal="center"/>
    </xf>
    <xf numFmtId="176" fontId="60" fillId="24" borderId="48" xfId="0" applyNumberFormat="1" applyFont="1" applyFill="1" applyBorder="1" applyAlignment="1">
      <alignment horizontal="right"/>
    </xf>
    <xf numFmtId="21" fontId="60" fillId="24" borderId="48" xfId="0" applyNumberFormat="1" applyFont="1" applyFill="1" applyBorder="1" applyAlignment="1">
      <alignment horizontal="center"/>
    </xf>
    <xf numFmtId="179" fontId="60" fillId="24" borderId="48" xfId="0" applyNumberFormat="1" applyFont="1" applyFill="1" applyBorder="1" applyAlignment="1"/>
    <xf numFmtId="177" fontId="60" fillId="24" borderId="48" xfId="0" applyNumberFormat="1" applyFont="1" applyFill="1" applyBorder="1" applyAlignment="1"/>
    <xf numFmtId="21" fontId="60" fillId="24" borderId="73" xfId="0" applyNumberFormat="1" applyFont="1" applyFill="1" applyBorder="1" applyAlignment="1">
      <alignment horizontal="center"/>
    </xf>
    <xf numFmtId="0" fontId="60" fillId="24" borderId="28" xfId="0" applyFont="1" applyFill="1" applyBorder="1" applyAlignment="1"/>
    <xf numFmtId="178" fontId="60" fillId="24" borderId="12" xfId="0" applyNumberFormat="1" applyFont="1" applyFill="1" applyBorder="1" applyAlignment="1">
      <alignment horizontal="right"/>
    </xf>
    <xf numFmtId="176" fontId="60" fillId="24" borderId="12" xfId="0" applyNumberFormat="1" applyFont="1" applyFill="1" applyBorder="1" applyAlignment="1">
      <alignment horizontal="center"/>
    </xf>
    <xf numFmtId="176" fontId="60" fillId="24" borderId="12" xfId="0" applyNumberFormat="1" applyFont="1" applyFill="1" applyBorder="1" applyAlignment="1">
      <alignment horizontal="right"/>
    </xf>
    <xf numFmtId="179" fontId="60" fillId="24" borderId="12" xfId="0" applyNumberFormat="1" applyFont="1" applyFill="1" applyBorder="1" applyAlignment="1"/>
    <xf numFmtId="177" fontId="60" fillId="24" borderId="12" xfId="0" applyNumberFormat="1" applyFont="1" applyFill="1" applyBorder="1" applyAlignment="1"/>
    <xf numFmtId="176" fontId="60" fillId="24" borderId="13" xfId="0" applyNumberFormat="1" applyFont="1" applyFill="1" applyBorder="1" applyAlignment="1"/>
    <xf numFmtId="178" fontId="60" fillId="24" borderId="13" xfId="0" applyNumberFormat="1" applyFont="1" applyFill="1" applyBorder="1" applyAlignment="1">
      <alignment horizontal="right"/>
    </xf>
    <xf numFmtId="0" fontId="60" fillId="24" borderId="13" xfId="0" applyFont="1" applyFill="1" applyBorder="1" applyAlignment="1">
      <alignment horizontal="center"/>
    </xf>
    <xf numFmtId="176" fontId="60" fillId="24" borderId="13" xfId="0" applyNumberFormat="1" applyFont="1" applyFill="1" applyBorder="1" applyAlignment="1">
      <alignment horizontal="right"/>
    </xf>
    <xf numFmtId="21" fontId="60" fillId="24" borderId="13" xfId="0" applyNumberFormat="1" applyFont="1" applyFill="1" applyBorder="1" applyAlignment="1">
      <alignment horizontal="center"/>
    </xf>
    <xf numFmtId="179" fontId="60" fillId="24" borderId="13" xfId="0" applyNumberFormat="1" applyFont="1" applyFill="1" applyBorder="1" applyAlignment="1"/>
    <xf numFmtId="177" fontId="60" fillId="24" borderId="13" xfId="0" applyNumberFormat="1" applyFont="1" applyFill="1" applyBorder="1" applyAlignment="1"/>
    <xf numFmtId="0" fontId="60" fillId="24" borderId="39" xfId="0" quotePrefix="1" applyFont="1" applyFill="1" applyBorder="1" applyAlignment="1">
      <alignment horizontal="center"/>
    </xf>
    <xf numFmtId="0" fontId="60" fillId="24" borderId="40" xfId="0" applyFont="1" applyFill="1" applyBorder="1" applyAlignment="1"/>
    <xf numFmtId="21" fontId="60" fillId="24" borderId="66" xfId="0" applyNumberFormat="1" applyFont="1" applyFill="1" applyBorder="1" applyAlignment="1">
      <alignment horizontal="left"/>
    </xf>
    <xf numFmtId="180" fontId="60" fillId="24" borderId="68" xfId="0" applyNumberFormat="1" applyFont="1" applyFill="1" applyBorder="1" applyAlignment="1">
      <alignment horizontal="left"/>
    </xf>
    <xf numFmtId="180" fontId="60" fillId="24" borderId="46" xfId="0" applyNumberFormat="1" applyFont="1" applyFill="1" applyBorder="1" applyAlignment="1">
      <alignment horizontal="center"/>
    </xf>
    <xf numFmtId="0" fontId="60" fillId="24" borderId="13" xfId="0" applyFont="1" applyFill="1" applyBorder="1" applyAlignment="1">
      <alignment horizontal="left"/>
    </xf>
    <xf numFmtId="180" fontId="58" fillId="24" borderId="65" xfId="0" applyNumberFormat="1" applyFont="1" applyFill="1" applyBorder="1">
      <alignment vertical="center"/>
    </xf>
    <xf numFmtId="180" fontId="58" fillId="24" borderId="68" xfId="0" applyNumberFormat="1" applyFont="1" applyFill="1" applyBorder="1">
      <alignment vertical="center"/>
    </xf>
    <xf numFmtId="0" fontId="48" fillId="24" borderId="90" xfId="0" applyFont="1" applyFill="1" applyBorder="1" applyAlignment="1">
      <alignment vertical="top" wrapText="1"/>
    </xf>
    <xf numFmtId="0" fontId="48" fillId="24" borderId="88" xfId="0" applyFont="1" applyFill="1" applyBorder="1" applyAlignment="1">
      <alignment vertical="top" wrapText="1"/>
    </xf>
    <xf numFmtId="0" fontId="48" fillId="24" borderId="81" xfId="0" applyFont="1" applyFill="1" applyBorder="1" applyAlignment="1">
      <alignment vertical="top" wrapText="1"/>
    </xf>
    <xf numFmtId="0" fontId="60" fillId="24" borderId="0" xfId="0" applyFont="1" applyFill="1" applyAlignment="1"/>
    <xf numFmtId="0" fontId="58" fillId="24" borderId="0" xfId="0" applyFont="1" applyFill="1" applyAlignment="1"/>
    <xf numFmtId="0" fontId="54" fillId="0" borderId="0" xfId="0" applyFont="1">
      <alignment vertical="center"/>
    </xf>
    <xf numFmtId="0" fontId="48" fillId="0" borderId="0" xfId="0" applyFont="1" applyAlignment="1"/>
    <xf numFmtId="0" fontId="52" fillId="0" borderId="0" xfId="0" applyFont="1" applyAlignment="1"/>
    <xf numFmtId="0" fontId="63" fillId="0" borderId="0" xfId="0" applyFont="1">
      <alignment vertical="center"/>
    </xf>
    <xf numFmtId="0" fontId="64" fillId="0" borderId="0" xfId="0" applyFont="1" applyAlignment="1"/>
    <xf numFmtId="0" fontId="55" fillId="0" borderId="31" xfId="0" applyFont="1" applyBorder="1" applyAlignment="1">
      <alignment horizontal="center"/>
    </xf>
    <xf numFmtId="0" fontId="60" fillId="0" borderId="0" xfId="0" applyFont="1" applyAlignment="1"/>
    <xf numFmtId="0" fontId="55" fillId="0" borderId="30" xfId="0" applyFont="1" applyBorder="1" applyAlignment="1">
      <alignment horizontal="center"/>
    </xf>
    <xf numFmtId="0" fontId="55" fillId="0" borderId="42" xfId="0" applyFont="1" applyBorder="1" applyAlignment="1">
      <alignment horizontal="center"/>
    </xf>
    <xf numFmtId="0" fontId="58" fillId="0" borderId="29" xfId="0" applyFont="1" applyBorder="1" applyAlignment="1">
      <alignment horizontal="center"/>
    </xf>
    <xf numFmtId="0" fontId="58" fillId="0" borderId="0" xfId="0" applyFont="1" applyAlignment="1"/>
    <xf numFmtId="0" fontId="58" fillId="0" borderId="43" xfId="0" applyFont="1" applyBorder="1" applyAlignment="1">
      <alignment horizontal="center"/>
    </xf>
    <xf numFmtId="0" fontId="58" fillId="0" borderId="44" xfId="0" applyFont="1" applyBorder="1" applyAlignment="1">
      <alignment horizontal="center"/>
    </xf>
    <xf numFmtId="181" fontId="60" fillId="0" borderId="10" xfId="0" applyNumberFormat="1" applyFont="1" applyBorder="1" applyAlignment="1">
      <alignment horizontal="right" vertical="top"/>
    </xf>
    <xf numFmtId="185" fontId="60" fillId="0" borderId="16" xfId="0" applyNumberFormat="1" applyFont="1" applyBorder="1" applyAlignment="1"/>
    <xf numFmtId="185" fontId="60" fillId="0" borderId="14" xfId="0" applyNumberFormat="1" applyFont="1" applyBorder="1" applyAlignment="1"/>
    <xf numFmtId="185" fontId="60" fillId="0" borderId="17" xfId="0" applyNumberFormat="1" applyFont="1" applyBorder="1" applyAlignment="1"/>
    <xf numFmtId="178" fontId="60" fillId="0" borderId="45" xfId="0" applyNumberFormat="1" applyFont="1" applyBorder="1" applyAlignment="1"/>
    <xf numFmtId="181" fontId="60" fillId="0" borderId="36" xfId="0" applyNumberFormat="1" applyFont="1" applyBorder="1" applyAlignment="1">
      <alignment horizontal="right" vertical="top"/>
    </xf>
    <xf numFmtId="185" fontId="60" fillId="0" borderId="22" xfId="0" applyNumberFormat="1" applyFont="1" applyBorder="1" applyAlignment="1"/>
    <xf numFmtId="185" fontId="60" fillId="0" borderId="33" xfId="0" applyNumberFormat="1" applyFont="1" applyBorder="1" applyAlignment="1"/>
    <xf numFmtId="185" fontId="60" fillId="0" borderId="21" xfId="0" applyNumberFormat="1" applyFont="1" applyBorder="1" applyAlignment="1"/>
    <xf numFmtId="21" fontId="58" fillId="24" borderId="66" xfId="0" applyNumberFormat="1" applyFont="1" applyFill="1" applyBorder="1" applyAlignment="1">
      <alignment horizontal="left" vertical="top"/>
    </xf>
    <xf numFmtId="176" fontId="60" fillId="24" borderId="11" xfId="0" applyNumberFormat="1" applyFont="1" applyFill="1" applyBorder="1" applyAlignment="1">
      <alignment horizontal="center"/>
    </xf>
    <xf numFmtId="21" fontId="60" fillId="24" borderId="73" xfId="0" applyNumberFormat="1" applyFont="1" applyFill="1" applyBorder="1" applyAlignment="1">
      <alignment horizontal="left"/>
    </xf>
    <xf numFmtId="21" fontId="60" fillId="24" borderId="62" xfId="0" applyNumberFormat="1" applyFont="1" applyFill="1" applyBorder="1" applyAlignment="1">
      <alignment horizontal="left"/>
    </xf>
    <xf numFmtId="2" fontId="60" fillId="24" borderId="10" xfId="0" applyNumberFormat="1" applyFont="1" applyFill="1" applyBorder="1" applyAlignment="1">
      <alignment horizontal="center"/>
    </xf>
    <xf numFmtId="2" fontId="60" fillId="24" borderId="11" xfId="0" applyNumberFormat="1" applyFont="1" applyFill="1" applyBorder="1" applyAlignment="1">
      <alignment horizontal="center"/>
    </xf>
    <xf numFmtId="2" fontId="60" fillId="24" borderId="12" xfId="0" applyNumberFormat="1" applyFont="1" applyFill="1" applyBorder="1" applyAlignment="1">
      <alignment horizontal="center"/>
    </xf>
    <xf numFmtId="176" fontId="60" fillId="24" borderId="13" xfId="0" applyNumberFormat="1" applyFont="1" applyFill="1" applyBorder="1" applyAlignment="1">
      <alignment horizontal="right" vertical="center"/>
    </xf>
    <xf numFmtId="180" fontId="60" fillId="24" borderId="65" xfId="0" applyNumberFormat="1" applyFont="1" applyFill="1" applyBorder="1" applyAlignment="1">
      <alignment horizontal="left" vertical="center"/>
    </xf>
    <xf numFmtId="21" fontId="60" fillId="24" borderId="57" xfId="0" applyNumberFormat="1" applyFont="1" applyFill="1" applyBorder="1" applyAlignment="1">
      <alignment horizontal="left"/>
    </xf>
    <xf numFmtId="176" fontId="60" fillId="0" borderId="10" xfId="0" applyNumberFormat="1" applyFont="1" applyBorder="1" applyAlignment="1"/>
    <xf numFmtId="0" fontId="60" fillId="0" borderId="10" xfId="0" applyFont="1" applyBorder="1" applyAlignment="1">
      <alignment horizontal="left"/>
    </xf>
    <xf numFmtId="176" fontId="60" fillId="0" borderId="11" xfId="0" applyNumberFormat="1" applyFont="1" applyBorder="1" applyAlignment="1"/>
    <xf numFmtId="0" fontId="60" fillId="0" borderId="11" xfId="0" applyFont="1" applyBorder="1" applyAlignment="1">
      <alignment horizontal="left"/>
    </xf>
    <xf numFmtId="176" fontId="60" fillId="0" borderId="12" xfId="0" applyNumberFormat="1" applyFont="1" applyBorder="1" applyAlignment="1"/>
    <xf numFmtId="0" fontId="60" fillId="0" borderId="12" xfId="0" applyFont="1" applyBorder="1" applyAlignment="1">
      <alignment horizontal="left"/>
    </xf>
    <xf numFmtId="176" fontId="60" fillId="0" borderId="13" xfId="0" applyNumberFormat="1" applyFont="1" applyBorder="1" applyAlignment="1"/>
    <xf numFmtId="176" fontId="60" fillId="0" borderId="11" xfId="0" applyNumberFormat="1" applyFont="1" applyBorder="1" applyAlignment="1">
      <alignment horizontal="right" vertical="center"/>
    </xf>
    <xf numFmtId="0" fontId="60" fillId="0" borderId="13" xfId="0" applyFont="1" applyBorder="1" applyAlignment="1">
      <alignment horizontal="left"/>
    </xf>
    <xf numFmtId="56" fontId="55" fillId="24" borderId="32" xfId="0" applyNumberFormat="1" applyFont="1" applyFill="1" applyBorder="1" applyAlignment="1">
      <alignment horizontal="right" vertical="center"/>
    </xf>
    <xf numFmtId="0" fontId="52" fillId="0" borderId="0" xfId="0" applyFont="1" applyAlignment="1">
      <alignment horizontal="center" vertical="center"/>
    </xf>
    <xf numFmtId="0" fontId="52" fillId="0" borderId="0" xfId="0" applyFont="1">
      <alignment vertical="center"/>
    </xf>
    <xf numFmtId="0" fontId="49" fillId="0" borderId="0" xfId="0" applyFont="1" applyAlignment="1">
      <alignment horizontal="center" vertical="center"/>
    </xf>
    <xf numFmtId="0" fontId="49" fillId="0" borderId="0" xfId="0" applyFont="1">
      <alignment vertical="center"/>
    </xf>
    <xf numFmtId="0" fontId="65" fillId="0" borderId="0" xfId="0" applyFont="1" applyAlignment="1"/>
    <xf numFmtId="0" fontId="58" fillId="0" borderId="0" xfId="0" applyFont="1" applyAlignment="1">
      <alignment horizontal="right" vertical="center" shrinkToFit="1"/>
    </xf>
    <xf numFmtId="0" fontId="58" fillId="0" borderId="0" xfId="0" applyFont="1" applyAlignment="1">
      <alignment vertical="center" shrinkToFit="1"/>
    </xf>
    <xf numFmtId="176" fontId="61" fillId="24" borderId="31" xfId="0" applyNumberFormat="1" applyFont="1" applyFill="1" applyBorder="1" applyAlignment="1">
      <alignment horizontal="center" vertical="center"/>
    </xf>
    <xf numFmtId="176" fontId="61" fillId="24" borderId="87" xfId="0" applyNumberFormat="1" applyFont="1" applyFill="1" applyBorder="1" applyAlignment="1">
      <alignment horizontal="center" vertical="center"/>
    </xf>
    <xf numFmtId="184" fontId="58" fillId="24" borderId="24" xfId="0" applyNumberFormat="1" applyFont="1" applyFill="1" applyBorder="1" applyAlignment="1">
      <alignment horizontal="center" vertical="center"/>
    </xf>
    <xf numFmtId="183" fontId="61" fillId="24" borderId="24" xfId="0" applyNumberFormat="1" applyFont="1" applyFill="1" applyBorder="1" applyAlignment="1">
      <alignment horizontal="center" vertical="center" wrapText="1"/>
    </xf>
    <xf numFmtId="0" fontId="58" fillId="0" borderId="0" xfId="0" applyFont="1" applyAlignment="1">
      <alignment horizontal="center" vertical="center" wrapText="1"/>
    </xf>
    <xf numFmtId="0" fontId="58" fillId="0" borderId="0" xfId="0" applyFont="1" applyAlignment="1">
      <alignment horizontal="center"/>
    </xf>
    <xf numFmtId="176" fontId="58" fillId="0" borderId="36" xfId="0" quotePrefix="1" applyNumberFormat="1" applyFont="1" applyBorder="1" applyAlignment="1">
      <alignment horizontal="center"/>
    </xf>
    <xf numFmtId="179" fontId="60" fillId="0" borderId="10" xfId="0" quotePrefix="1" applyNumberFormat="1" applyFont="1" applyBorder="1" applyAlignment="1">
      <alignment horizontal="right"/>
    </xf>
    <xf numFmtId="179" fontId="60" fillId="0" borderId="10" xfId="0" applyNumberFormat="1" applyFont="1" applyBorder="1" applyAlignment="1"/>
    <xf numFmtId="0" fontId="58" fillId="0" borderId="10" xfId="0" applyFont="1" applyBorder="1" applyAlignment="1">
      <alignment horizontal="center"/>
    </xf>
    <xf numFmtId="0" fontId="58" fillId="0" borderId="76" xfId="0" applyFont="1" applyBorder="1" applyAlignment="1">
      <alignment horizontal="center"/>
    </xf>
    <xf numFmtId="179" fontId="60" fillId="0" borderId="0" xfId="0" applyNumberFormat="1" applyFont="1" applyAlignment="1">
      <alignment horizontal="center"/>
    </xf>
    <xf numFmtId="176" fontId="58" fillId="0" borderId="37" xfId="0" quotePrefix="1" applyNumberFormat="1" applyFont="1" applyBorder="1" applyAlignment="1">
      <alignment horizontal="center"/>
    </xf>
    <xf numFmtId="179" fontId="60" fillId="0" borderId="11" xfId="0" quotePrefix="1" applyNumberFormat="1" applyFont="1" applyBorder="1" applyAlignment="1">
      <alignment horizontal="right"/>
    </xf>
    <xf numFmtId="179" fontId="60" fillId="0" borderId="11" xfId="0" applyNumberFormat="1" applyFont="1" applyBorder="1" applyAlignment="1"/>
    <xf numFmtId="0" fontId="58" fillId="0" borderId="11" xfId="0" applyFont="1" applyBorder="1" applyAlignment="1">
      <alignment horizontal="center"/>
    </xf>
    <xf numFmtId="0" fontId="58" fillId="0" borderId="77" xfId="0" applyFont="1" applyBorder="1" applyAlignment="1">
      <alignment horizontal="center"/>
    </xf>
    <xf numFmtId="179" fontId="60" fillId="0" borderId="0" xfId="0" quotePrefix="1" applyNumberFormat="1" applyFont="1" applyAlignment="1">
      <alignment horizontal="center"/>
    </xf>
    <xf numFmtId="179" fontId="66" fillId="0" borderId="11" xfId="0" quotePrefix="1" applyNumberFormat="1" applyFont="1" applyBorder="1" applyAlignment="1">
      <alignment horizontal="right"/>
    </xf>
    <xf numFmtId="179" fontId="60" fillId="0" borderId="11" xfId="0" quotePrefix="1" applyNumberFormat="1" applyFont="1" applyBorder="1" applyAlignment="1"/>
    <xf numFmtId="176" fontId="58" fillId="0" borderId="38" xfId="0" quotePrefix="1" applyNumberFormat="1" applyFont="1" applyBorder="1" applyAlignment="1">
      <alignment horizontal="center"/>
    </xf>
    <xf numFmtId="0" fontId="60" fillId="0" borderId="48" xfId="0" applyFont="1" applyBorder="1" applyAlignment="1">
      <alignment horizontal="left"/>
    </xf>
    <xf numFmtId="179" fontId="60" fillId="0" borderId="12" xfId="0" quotePrefix="1" applyNumberFormat="1" applyFont="1" applyBorder="1" applyAlignment="1">
      <alignment horizontal="right"/>
    </xf>
    <xf numFmtId="179" fontId="60" fillId="0" borderId="12" xfId="0" applyNumberFormat="1" applyFont="1" applyBorder="1" applyAlignment="1"/>
    <xf numFmtId="0" fontId="58" fillId="0" borderId="12" xfId="0" applyFont="1" applyBorder="1" applyAlignment="1">
      <alignment horizontal="center"/>
    </xf>
    <xf numFmtId="0" fontId="58" fillId="0" borderId="78" xfId="0" applyFont="1" applyBorder="1" applyAlignment="1">
      <alignment horizontal="center"/>
    </xf>
    <xf numFmtId="179" fontId="60" fillId="0" borderId="12" xfId="0" applyNumberFormat="1" applyFont="1" applyBorder="1" applyAlignment="1">
      <alignment horizontal="right"/>
    </xf>
    <xf numFmtId="179" fontId="60" fillId="0" borderId="13" xfId="0" applyNumberFormat="1" applyFont="1" applyBorder="1" applyAlignment="1"/>
    <xf numFmtId="0" fontId="58" fillId="0" borderId="13" xfId="0" applyFont="1" applyBorder="1" applyAlignment="1">
      <alignment horizontal="center"/>
    </xf>
    <xf numFmtId="0" fontId="58" fillId="0" borderId="79" xfId="0" applyFont="1" applyBorder="1" applyAlignment="1">
      <alignment horizontal="center"/>
    </xf>
    <xf numFmtId="0" fontId="58" fillId="0" borderId="66" xfId="0" applyFont="1" applyBorder="1" applyAlignment="1">
      <alignment horizontal="center"/>
    </xf>
    <xf numFmtId="179" fontId="60" fillId="0" borderId="11" xfId="0" applyNumberFormat="1" applyFont="1" applyBorder="1" applyAlignment="1">
      <alignment horizontal="right"/>
    </xf>
    <xf numFmtId="0" fontId="58" fillId="0" borderId="73" xfId="0" applyFont="1" applyBorder="1" applyAlignment="1">
      <alignment horizontal="center"/>
    </xf>
    <xf numFmtId="0" fontId="58" fillId="0" borderId="62" xfId="0" applyFont="1" applyBorder="1" applyAlignment="1">
      <alignment horizontal="center"/>
    </xf>
    <xf numFmtId="176" fontId="60" fillId="0" borderId="13" xfId="0" applyNumberFormat="1" applyFont="1" applyBorder="1" applyAlignment="1">
      <alignment horizontal="right" vertical="center"/>
    </xf>
    <xf numFmtId="179" fontId="60" fillId="0" borderId="13" xfId="0" quotePrefix="1" applyNumberFormat="1" applyFont="1" applyBorder="1" applyAlignment="1">
      <alignment horizontal="right"/>
    </xf>
    <xf numFmtId="0" fontId="60" fillId="0" borderId="0" xfId="0" quotePrefix="1" applyFont="1" applyAlignment="1">
      <alignment horizontal="center"/>
    </xf>
    <xf numFmtId="0" fontId="58" fillId="0" borderId="86" xfId="0" applyFont="1" applyBorder="1" applyAlignment="1">
      <alignment horizontal="center"/>
    </xf>
    <xf numFmtId="176" fontId="58" fillId="0" borderId="39" xfId="0" quotePrefix="1" applyNumberFormat="1" applyFont="1" applyBorder="1" applyAlignment="1">
      <alignment horizontal="center"/>
    </xf>
    <xf numFmtId="179" fontId="60" fillId="0" borderId="13" xfId="0" applyNumberFormat="1" applyFont="1" applyBorder="1" applyAlignment="1">
      <alignment horizontal="right"/>
    </xf>
    <xf numFmtId="179" fontId="67" fillId="0" borderId="13" xfId="0" applyNumberFormat="1" applyFont="1" applyBorder="1" applyAlignment="1">
      <alignment horizontal="right"/>
    </xf>
    <xf numFmtId="176" fontId="58" fillId="0" borderId="83" xfId="0" quotePrefix="1" applyNumberFormat="1" applyFont="1" applyBorder="1" applyAlignment="1">
      <alignment horizontal="center"/>
    </xf>
    <xf numFmtId="176" fontId="60" fillId="0" borderId="84" xfId="0" applyNumberFormat="1" applyFont="1" applyBorder="1" applyAlignment="1"/>
    <xf numFmtId="0" fontId="60" fillId="0" borderId="84" xfId="0" applyFont="1" applyBorder="1" applyAlignment="1">
      <alignment horizontal="left"/>
    </xf>
    <xf numFmtId="179" fontId="60" fillId="0" borderId="84" xfId="0" quotePrefix="1" applyNumberFormat="1" applyFont="1" applyBorder="1" applyAlignment="1">
      <alignment horizontal="right"/>
    </xf>
    <xf numFmtId="179" fontId="60" fillId="0" borderId="84" xfId="0" applyNumberFormat="1" applyFont="1" applyBorder="1" applyAlignment="1"/>
    <xf numFmtId="0" fontId="58" fillId="0" borderId="84" xfId="0" applyFont="1" applyBorder="1" applyAlignment="1">
      <alignment horizontal="center"/>
    </xf>
    <xf numFmtId="0" fontId="58" fillId="0" borderId="85" xfId="0" applyFont="1" applyBorder="1" applyAlignment="1">
      <alignment horizontal="center"/>
    </xf>
    <xf numFmtId="176" fontId="60" fillId="0" borderId="80" xfId="0" quotePrefix="1" applyNumberFormat="1" applyFont="1" applyBorder="1" applyAlignment="1">
      <alignment horizontal="center"/>
    </xf>
    <xf numFmtId="0" fontId="58" fillId="0" borderId="80" xfId="0" applyFont="1" applyBorder="1" applyAlignment="1">
      <alignment horizontal="center"/>
    </xf>
    <xf numFmtId="0" fontId="58" fillId="0" borderId="81" xfId="0" applyFont="1" applyBorder="1" applyAlignment="1">
      <alignment horizontal="center"/>
    </xf>
    <xf numFmtId="0" fontId="58" fillId="0" borderId="82" xfId="0" applyFont="1" applyBorder="1" applyAlignment="1">
      <alignment horizontal="center"/>
    </xf>
    <xf numFmtId="0" fontId="58" fillId="0" borderId="14" xfId="0" applyFont="1" applyBorder="1" applyAlignment="1"/>
    <xf numFmtId="14" fontId="58" fillId="0" borderId="0" xfId="0" applyNumberFormat="1" applyFont="1" applyAlignment="1"/>
    <xf numFmtId="0" fontId="58" fillId="0" borderId="0" xfId="0" applyFont="1" applyAlignment="1">
      <alignment horizontal="center" shrinkToFit="1"/>
    </xf>
    <xf numFmtId="0" fontId="58" fillId="0" borderId="0" xfId="0" applyFont="1" applyAlignment="1">
      <alignment shrinkToFit="1"/>
    </xf>
    <xf numFmtId="0" fontId="58" fillId="0" borderId="49" xfId="0" applyFont="1" applyBorder="1" applyAlignment="1"/>
    <xf numFmtId="0" fontId="58" fillId="0" borderId="50" xfId="0" applyFont="1" applyBorder="1" applyAlignment="1"/>
    <xf numFmtId="0" fontId="58" fillId="0" borderId="51" xfId="0" applyFont="1" applyBorder="1" applyAlignment="1"/>
    <xf numFmtId="0" fontId="58" fillId="0" borderId="52" xfId="0" applyFont="1" applyBorder="1" applyAlignment="1">
      <alignment shrinkToFit="1"/>
    </xf>
    <xf numFmtId="0" fontId="58" fillId="0" borderId="0" xfId="0" applyFont="1" applyAlignment="1">
      <alignment horizontal="right"/>
    </xf>
    <xf numFmtId="0" fontId="58" fillId="0" borderId="53" xfId="0" applyFont="1" applyBorder="1" applyAlignment="1">
      <alignment horizontal="right"/>
    </xf>
    <xf numFmtId="0" fontId="59" fillId="0" borderId="0" xfId="0" applyFont="1" applyAlignment="1">
      <alignment horizontal="left"/>
    </xf>
    <xf numFmtId="0" fontId="58" fillId="0" borderId="0" xfId="0" applyFont="1" applyAlignment="1">
      <alignment wrapText="1" shrinkToFit="1"/>
    </xf>
    <xf numFmtId="0" fontId="68" fillId="0" borderId="0" xfId="0" applyFont="1" applyAlignment="1">
      <alignment horizontal="left" readingOrder="1"/>
    </xf>
    <xf numFmtId="0" fontId="58" fillId="0" borderId="54" xfId="0" applyFont="1" applyBorder="1" applyAlignment="1"/>
    <xf numFmtId="0" fontId="58" fillId="0" borderId="55" xfId="0" applyFont="1" applyBorder="1" applyAlignment="1"/>
    <xf numFmtId="0" fontId="58" fillId="0" borderId="56" xfId="0" applyFont="1" applyBorder="1" applyAlignment="1"/>
    <xf numFmtId="180" fontId="55" fillId="24" borderId="0" xfId="0" applyNumberFormat="1" applyFont="1" applyFill="1" applyAlignment="1">
      <alignment horizontal="center" vertical="center"/>
    </xf>
    <xf numFmtId="0" fontId="52" fillId="24" borderId="0" xfId="0" applyFont="1" applyFill="1" applyAlignment="1">
      <alignment horizontal="left" vertical="center"/>
    </xf>
    <xf numFmtId="0" fontId="55" fillId="24" borderId="0" xfId="0" applyFont="1" applyFill="1" applyAlignment="1">
      <alignment horizontal="center"/>
    </xf>
    <xf numFmtId="0" fontId="60" fillId="24" borderId="0" xfId="0" applyFont="1" applyFill="1" applyAlignment="1">
      <alignment horizontal="left" vertical="top" wrapText="1"/>
    </xf>
    <xf numFmtId="21" fontId="60" fillId="24" borderId="57" xfId="0" applyNumberFormat="1" applyFont="1" applyFill="1" applyBorder="1" applyAlignment="1">
      <alignment horizontal="center"/>
    </xf>
    <xf numFmtId="176" fontId="60" fillId="24" borderId="11" xfId="0" applyNumberFormat="1" applyFont="1" applyFill="1" applyBorder="1" applyAlignment="1">
      <alignment horizontal="right" vertical="center"/>
    </xf>
    <xf numFmtId="176" fontId="60" fillId="24" borderId="13" xfId="0" applyNumberFormat="1" applyFont="1" applyFill="1" applyBorder="1" applyAlignment="1">
      <alignment horizontal="center"/>
    </xf>
    <xf numFmtId="21" fontId="58" fillId="24" borderId="73" xfId="0" applyNumberFormat="1" applyFont="1" applyFill="1" applyBorder="1" applyAlignment="1">
      <alignment horizontal="left" vertical="top"/>
    </xf>
    <xf numFmtId="21" fontId="60" fillId="24" borderId="0" xfId="0" applyNumberFormat="1" applyFont="1" applyFill="1" applyAlignment="1">
      <alignment horizontal="center"/>
    </xf>
    <xf numFmtId="0" fontId="54" fillId="24" borderId="66" xfId="0" applyFont="1" applyFill="1" applyBorder="1">
      <alignment vertical="center"/>
    </xf>
    <xf numFmtId="180" fontId="60" fillId="24" borderId="62" xfId="0" applyNumberFormat="1" applyFont="1" applyFill="1" applyBorder="1" applyAlignment="1">
      <alignment horizontal="left" vertical="center"/>
    </xf>
    <xf numFmtId="21" fontId="60" fillId="24" borderId="65" xfId="0" applyNumberFormat="1" applyFont="1" applyFill="1" applyBorder="1" applyAlignment="1">
      <alignment horizontal="left"/>
    </xf>
    <xf numFmtId="176" fontId="60" fillId="24" borderId="12" xfId="0" applyNumberFormat="1" applyFont="1" applyFill="1" applyBorder="1" applyAlignment="1">
      <alignment horizontal="right" vertical="center"/>
    </xf>
    <xf numFmtId="49" fontId="55" fillId="24" borderId="0" xfId="0" applyNumberFormat="1" applyFont="1" applyFill="1" applyAlignment="1"/>
    <xf numFmtId="0" fontId="46" fillId="27" borderId="60" xfId="0" applyFont="1" applyFill="1" applyBorder="1" applyAlignment="1">
      <alignment horizontal="right" vertical="center"/>
    </xf>
    <xf numFmtId="14" fontId="46" fillId="27" borderId="94" xfId="0" applyNumberFormat="1" applyFont="1" applyFill="1" applyBorder="1" applyAlignment="1">
      <alignment horizontal="left" vertical="center"/>
    </xf>
    <xf numFmtId="38" fontId="46" fillId="27" borderId="94" xfId="46" applyFont="1" applyFill="1" applyBorder="1" applyAlignment="1">
      <alignment horizontal="left" vertical="center"/>
    </xf>
    <xf numFmtId="0" fontId="43" fillId="0" borderId="0" xfId="0" applyFont="1">
      <alignment vertical="center"/>
    </xf>
    <xf numFmtId="0" fontId="42" fillId="0" borderId="0" xfId="0" applyFont="1">
      <alignment vertical="center"/>
    </xf>
    <xf numFmtId="0" fontId="44" fillId="0" borderId="0" xfId="0" applyFont="1">
      <alignment vertical="center"/>
    </xf>
    <xf numFmtId="0" fontId="44" fillId="0" borderId="0" xfId="0" applyFont="1" applyAlignment="1">
      <alignment horizontal="center" vertical="center"/>
    </xf>
    <xf numFmtId="0" fontId="11" fillId="0" borderId="0" xfId="0" applyFont="1" applyAlignment="1"/>
    <xf numFmtId="14" fontId="13" fillId="0" borderId="0" xfId="0" quotePrefix="1" applyNumberFormat="1" applyFont="1" applyAlignment="1">
      <alignment horizontal="right" vertical="center"/>
    </xf>
    <xf numFmtId="2" fontId="60" fillId="24" borderId="57" xfId="0" applyNumberFormat="1" applyFont="1" applyFill="1" applyBorder="1" applyAlignment="1">
      <alignment horizontal="center"/>
    </xf>
    <xf numFmtId="2" fontId="60" fillId="24" borderId="66" xfId="0" applyNumberFormat="1" applyFont="1" applyFill="1" applyBorder="1" applyAlignment="1">
      <alignment horizontal="center"/>
    </xf>
    <xf numFmtId="2" fontId="60" fillId="24" borderId="73" xfId="0" applyNumberFormat="1" applyFont="1" applyFill="1" applyBorder="1" applyAlignment="1">
      <alignment horizontal="center"/>
    </xf>
    <xf numFmtId="0" fontId="60" fillId="24" borderId="66" xfId="0" applyFont="1" applyFill="1" applyBorder="1" applyAlignment="1">
      <alignment horizontal="center"/>
    </xf>
    <xf numFmtId="0" fontId="60" fillId="24" borderId="10" xfId="0" quotePrefix="1" applyFont="1" applyFill="1" applyBorder="1" applyAlignment="1">
      <alignment horizontal="center"/>
    </xf>
    <xf numFmtId="0" fontId="60" fillId="24" borderId="11" xfId="0" quotePrefix="1" applyFont="1" applyFill="1" applyBorder="1" applyAlignment="1">
      <alignment horizontal="center"/>
    </xf>
    <xf numFmtId="0" fontId="60" fillId="24" borderId="12" xfId="0" quotePrefix="1" applyFont="1" applyFill="1" applyBorder="1" applyAlignment="1">
      <alignment horizontal="center"/>
    </xf>
    <xf numFmtId="0" fontId="60" fillId="24" borderId="13" xfId="0" quotePrefix="1" applyFont="1" applyFill="1" applyBorder="1" applyAlignment="1">
      <alignment horizontal="center"/>
    </xf>
    <xf numFmtId="2" fontId="60" fillId="24" borderId="62" xfId="0" applyNumberFormat="1" applyFont="1" applyFill="1" applyBorder="1" applyAlignment="1">
      <alignment horizontal="center"/>
    </xf>
    <xf numFmtId="0" fontId="10" fillId="24" borderId="24" xfId="0" applyFont="1" applyFill="1" applyBorder="1" applyAlignment="1">
      <alignment horizontal="right" vertical="center" shrinkToFit="1"/>
    </xf>
    <xf numFmtId="182" fontId="73" fillId="24" borderId="111" xfId="0" applyNumberFormat="1" applyFont="1" applyFill="1" applyBorder="1">
      <alignment vertical="center"/>
    </xf>
    <xf numFmtId="182" fontId="73" fillId="24" borderId="112" xfId="0" applyNumberFormat="1" applyFont="1" applyFill="1" applyBorder="1">
      <alignment vertical="center"/>
    </xf>
    <xf numFmtId="0" fontId="72" fillId="24" borderId="112" xfId="0" applyFont="1" applyFill="1" applyBorder="1" applyAlignment="1">
      <alignment horizontal="right" vertical="center" shrinkToFit="1"/>
    </xf>
    <xf numFmtId="0" fontId="72" fillId="24" borderId="110" xfId="0" applyFont="1" applyFill="1" applyBorder="1" applyAlignment="1">
      <alignment horizontal="center" vertical="center" shrinkToFit="1"/>
    </xf>
    <xf numFmtId="0" fontId="72" fillId="24" borderId="115" xfId="0" applyFont="1" applyFill="1" applyBorder="1" applyAlignment="1">
      <alignment horizontal="center" vertical="center" shrinkToFit="1"/>
    </xf>
    <xf numFmtId="0" fontId="10" fillId="0" borderId="116" xfId="48" applyFont="1" applyBorder="1" applyAlignment="1">
      <alignment horizontal="center" vertical="top" wrapText="1"/>
    </xf>
    <xf numFmtId="185" fontId="10" fillId="0" borderId="117" xfId="48" applyNumberFormat="1" applyFont="1" applyBorder="1" applyAlignment="1">
      <alignment horizontal="center" vertical="top" wrapText="1"/>
    </xf>
    <xf numFmtId="0" fontId="0" fillId="0" borderId="119" xfId="0" applyBorder="1">
      <alignment vertical="center"/>
    </xf>
    <xf numFmtId="0" fontId="12" fillId="0" borderId="120" xfId="0" applyFont="1" applyBorder="1" applyAlignment="1"/>
    <xf numFmtId="0" fontId="12" fillId="0" borderId="121" xfId="0" applyFont="1" applyBorder="1" applyAlignment="1"/>
    <xf numFmtId="0" fontId="12" fillId="0" borderId="122" xfId="0" applyFont="1" applyBorder="1" applyAlignment="1"/>
    <xf numFmtId="182" fontId="73" fillId="24" borderId="107" xfId="0" applyNumberFormat="1" applyFont="1" applyFill="1" applyBorder="1">
      <alignment vertical="center"/>
    </xf>
    <xf numFmtId="0" fontId="71" fillId="0" borderId="125" xfId="0" applyFont="1" applyBorder="1" applyAlignment="1">
      <alignment horizontal="center" vertical="center"/>
    </xf>
    <xf numFmtId="182" fontId="73" fillId="24" borderId="126" xfId="0" applyNumberFormat="1" applyFont="1" applyFill="1" applyBorder="1">
      <alignment vertical="center"/>
    </xf>
    <xf numFmtId="0" fontId="14" fillId="0" borderId="129" xfId="0" applyFont="1" applyBorder="1" applyAlignment="1">
      <alignment horizontal="center"/>
    </xf>
    <xf numFmtId="179" fontId="10" fillId="0" borderId="130" xfId="48" applyNumberFormat="1" applyFont="1" applyBorder="1" applyAlignment="1">
      <alignment horizontal="center" vertical="center" shrinkToFit="1"/>
    </xf>
    <xf numFmtId="179" fontId="10" fillId="0" borderId="131" xfId="48" applyNumberFormat="1" applyFont="1" applyBorder="1" applyAlignment="1">
      <alignment horizontal="center" vertical="center" shrinkToFit="1"/>
    </xf>
    <xf numFmtId="0" fontId="55" fillId="24" borderId="34" xfId="0" applyFont="1" applyFill="1" applyBorder="1" applyAlignment="1">
      <alignment vertical="top"/>
    </xf>
    <xf numFmtId="178" fontId="60" fillId="0" borderId="134" xfId="0" applyNumberFormat="1" applyFont="1" applyBorder="1" applyAlignment="1"/>
    <xf numFmtId="178" fontId="60" fillId="0" borderId="133" xfId="0" applyNumberFormat="1" applyFont="1" applyBorder="1" applyAlignment="1"/>
    <xf numFmtId="178" fontId="60" fillId="0" borderId="135" xfId="0" applyNumberFormat="1" applyFont="1" applyBorder="1" applyAlignment="1"/>
    <xf numFmtId="178" fontId="60" fillId="0" borderId="114" xfId="0" applyNumberFormat="1" applyFont="1" applyBorder="1" applyAlignment="1"/>
    <xf numFmtId="178" fontId="60" fillId="0" borderId="124" xfId="0" applyNumberFormat="1" applyFont="1" applyBorder="1" applyAlignment="1"/>
    <xf numFmtId="185" fontId="60" fillId="0" borderId="113" xfId="0" applyNumberFormat="1" applyFont="1" applyBorder="1" applyAlignment="1"/>
    <xf numFmtId="0" fontId="55" fillId="0" borderId="98" xfId="0" applyFont="1" applyBorder="1" applyAlignment="1">
      <alignment horizontal="center"/>
    </xf>
    <xf numFmtId="0" fontId="58" fillId="0" borderId="107" xfId="0" applyFont="1" applyBorder="1" applyAlignment="1">
      <alignment horizontal="center"/>
    </xf>
    <xf numFmtId="185" fontId="60" fillId="0" borderId="136" xfId="0" applyNumberFormat="1" applyFont="1" applyBorder="1" applyAlignment="1"/>
    <xf numFmtId="178" fontId="60" fillId="0" borderId="119" xfId="0" applyNumberFormat="1" applyFont="1" applyBorder="1" applyAlignment="1"/>
    <xf numFmtId="178" fontId="60" fillId="0" borderId="106" xfId="0" applyNumberFormat="1" applyFont="1" applyBorder="1" applyAlignment="1"/>
    <xf numFmtId="178" fontId="60" fillId="0" borderId="80" xfId="0" applyNumberFormat="1" applyFont="1" applyBorder="1" applyAlignment="1"/>
    <xf numFmtId="178" fontId="60" fillId="0" borderId="137" xfId="0" applyNumberFormat="1" applyFont="1" applyBorder="1" applyAlignment="1"/>
    <xf numFmtId="0" fontId="60" fillId="0" borderId="36" xfId="0" quotePrefix="1" applyFont="1" applyBorder="1" applyAlignment="1">
      <alignment horizontal="center"/>
    </xf>
    <xf numFmtId="2" fontId="60" fillId="0" borderId="10" xfId="0" applyNumberFormat="1" applyFont="1" applyBorder="1" applyAlignment="1">
      <alignment horizontal="center"/>
    </xf>
    <xf numFmtId="0" fontId="60" fillId="0" borderId="10" xfId="0" applyFont="1" applyBorder="1" applyAlignment="1">
      <alignment horizontal="center"/>
    </xf>
    <xf numFmtId="21" fontId="60" fillId="0" borderId="10" xfId="0" applyNumberFormat="1" applyFont="1" applyBorder="1" applyAlignment="1">
      <alignment horizontal="center"/>
    </xf>
    <xf numFmtId="178" fontId="60" fillId="0" borderId="10" xfId="0" applyNumberFormat="1" applyFont="1" applyBorder="1" applyAlignment="1">
      <alignment horizontal="right"/>
    </xf>
    <xf numFmtId="176" fontId="60" fillId="0" borderId="10" xfId="0" applyNumberFormat="1" applyFont="1" applyBorder="1" applyAlignment="1">
      <alignment horizontal="right"/>
    </xf>
    <xf numFmtId="177" fontId="60" fillId="0" borderId="10" xfId="0" applyNumberFormat="1" applyFont="1" applyBorder="1" applyAlignment="1"/>
    <xf numFmtId="21" fontId="60" fillId="0" borderId="57" xfId="0" applyNumberFormat="1" applyFont="1" applyBorder="1" applyAlignment="1">
      <alignment horizontal="left"/>
    </xf>
    <xf numFmtId="0" fontId="60" fillId="0" borderId="26" xfId="0" applyFont="1" applyBorder="1" applyAlignment="1"/>
    <xf numFmtId="0" fontId="60" fillId="0" borderId="37" xfId="0" quotePrefix="1" applyFont="1" applyBorder="1" applyAlignment="1">
      <alignment horizontal="center"/>
    </xf>
    <xf numFmtId="2" fontId="60" fillId="0" borderId="11" xfId="0" applyNumberFormat="1" applyFont="1" applyBorder="1" applyAlignment="1">
      <alignment horizontal="center"/>
    </xf>
    <xf numFmtId="0" fontId="60" fillId="0" borderId="11" xfId="0" applyFont="1" applyBorder="1" applyAlignment="1">
      <alignment horizontal="center"/>
    </xf>
    <xf numFmtId="21" fontId="60" fillId="0" borderId="11" xfId="0" applyNumberFormat="1" applyFont="1" applyBorder="1" applyAlignment="1">
      <alignment horizontal="center"/>
    </xf>
    <xf numFmtId="178" fontId="60" fillId="0" borderId="11" xfId="0" applyNumberFormat="1" applyFont="1" applyBorder="1" applyAlignment="1">
      <alignment horizontal="right"/>
    </xf>
    <xf numFmtId="176" fontId="60" fillId="0" borderId="11" xfId="0" applyNumberFormat="1" applyFont="1" applyBorder="1" applyAlignment="1">
      <alignment horizontal="right"/>
    </xf>
    <xf numFmtId="177" fontId="60" fillId="0" borderId="11" xfId="0" applyNumberFormat="1" applyFont="1" applyBorder="1" applyAlignment="1"/>
    <xf numFmtId="181" fontId="60" fillId="0" borderId="11" xfId="0" applyNumberFormat="1" applyFont="1" applyBorder="1" applyAlignment="1">
      <alignment horizontal="right" vertical="top"/>
    </xf>
    <xf numFmtId="21" fontId="60" fillId="0" borderId="66" xfId="0" applyNumberFormat="1" applyFont="1" applyBorder="1" applyAlignment="1">
      <alignment horizontal="center"/>
    </xf>
    <xf numFmtId="0" fontId="60" fillId="0" borderId="27" xfId="0" applyFont="1" applyBorder="1" applyAlignment="1"/>
    <xf numFmtId="21" fontId="58" fillId="0" borderId="66" xfId="0" applyNumberFormat="1" applyFont="1" applyBorder="1" applyAlignment="1">
      <alignment horizontal="left" vertical="top"/>
    </xf>
    <xf numFmtId="0" fontId="60" fillId="0" borderId="38" xfId="0" quotePrefix="1" applyFont="1" applyBorder="1" applyAlignment="1">
      <alignment horizontal="center"/>
    </xf>
    <xf numFmtId="2" fontId="60" fillId="0" borderId="12" xfId="0" applyNumberFormat="1" applyFont="1" applyBorder="1" applyAlignment="1">
      <alignment horizontal="center"/>
    </xf>
    <xf numFmtId="0" fontId="60" fillId="0" borderId="12" xfId="0" applyFont="1" applyBorder="1" applyAlignment="1">
      <alignment horizontal="center"/>
    </xf>
    <xf numFmtId="21" fontId="60" fillId="0" borderId="12" xfId="0" applyNumberFormat="1" applyFont="1" applyBorder="1" applyAlignment="1">
      <alignment horizontal="center"/>
    </xf>
    <xf numFmtId="176" fontId="60" fillId="0" borderId="48" xfId="0" applyNumberFormat="1" applyFont="1" applyBorder="1" applyAlignment="1"/>
    <xf numFmtId="178" fontId="60" fillId="0" borderId="48" xfId="0" applyNumberFormat="1" applyFont="1" applyBorder="1" applyAlignment="1">
      <alignment horizontal="right"/>
    </xf>
    <xf numFmtId="0" fontId="60" fillId="0" borderId="48" xfId="0" applyFont="1" applyBorder="1" applyAlignment="1">
      <alignment horizontal="center"/>
    </xf>
    <xf numFmtId="176" fontId="60" fillId="0" borderId="48" xfId="0" applyNumberFormat="1" applyFont="1" applyBorder="1" applyAlignment="1">
      <alignment horizontal="right"/>
    </xf>
    <xf numFmtId="21" fontId="60" fillId="0" borderId="48" xfId="0" applyNumberFormat="1" applyFont="1" applyBorder="1" applyAlignment="1">
      <alignment horizontal="center"/>
    </xf>
    <xf numFmtId="179" fontId="60" fillId="0" borderId="48" xfId="0" applyNumberFormat="1" applyFont="1" applyBorder="1" applyAlignment="1"/>
    <xf numFmtId="177" fontId="60" fillId="0" borderId="48" xfId="0" applyNumberFormat="1" applyFont="1" applyBorder="1" applyAlignment="1"/>
    <xf numFmtId="21" fontId="60" fillId="0" borderId="73" xfId="0" applyNumberFormat="1" applyFont="1" applyBorder="1" applyAlignment="1">
      <alignment horizontal="center"/>
    </xf>
    <xf numFmtId="0" fontId="60" fillId="0" borderId="28" xfId="0" applyFont="1" applyBorder="1" applyAlignment="1"/>
    <xf numFmtId="21" fontId="60" fillId="0" borderId="66" xfId="0" applyNumberFormat="1" applyFont="1" applyBorder="1" applyAlignment="1">
      <alignment horizontal="left"/>
    </xf>
    <xf numFmtId="181" fontId="60" fillId="0" borderId="12" xfId="0" applyNumberFormat="1" applyFont="1" applyBorder="1" applyAlignment="1">
      <alignment horizontal="right" vertical="top"/>
    </xf>
    <xf numFmtId="21" fontId="60" fillId="0" borderId="73" xfId="0" applyNumberFormat="1" applyFont="1" applyBorder="1" applyAlignment="1">
      <alignment horizontal="left"/>
    </xf>
    <xf numFmtId="21" fontId="60" fillId="0" borderId="62" xfId="0" applyNumberFormat="1" applyFont="1" applyBorder="1" applyAlignment="1">
      <alignment horizontal="left"/>
    </xf>
    <xf numFmtId="0" fontId="60" fillId="0" borderId="39" xfId="0" quotePrefix="1" applyFont="1" applyBorder="1" applyAlignment="1">
      <alignment horizontal="center"/>
    </xf>
    <xf numFmtId="0" fontId="60" fillId="0" borderId="13" xfId="0" applyFont="1" applyBorder="1" applyAlignment="1">
      <alignment horizontal="center"/>
    </xf>
    <xf numFmtId="180" fontId="60" fillId="0" borderId="65" xfId="0" applyNumberFormat="1" applyFont="1" applyBorder="1" applyAlignment="1">
      <alignment horizontal="left" vertical="center"/>
    </xf>
    <xf numFmtId="0" fontId="60" fillId="0" borderId="40" xfId="0" applyFont="1" applyBorder="1" applyAlignment="1"/>
    <xf numFmtId="180" fontId="60" fillId="0" borderId="68" xfId="0" applyNumberFormat="1" applyFont="1" applyBorder="1" applyAlignment="1">
      <alignment horizontal="left"/>
    </xf>
    <xf numFmtId="180" fontId="60" fillId="0" borderId="46" xfId="0" applyNumberFormat="1" applyFont="1" applyBorder="1" applyAlignment="1">
      <alignment horizontal="center"/>
    </xf>
    <xf numFmtId="21" fontId="60" fillId="0" borderId="13" xfId="0" applyNumberFormat="1" applyFont="1" applyBorder="1" applyAlignment="1">
      <alignment horizontal="center"/>
    </xf>
    <xf numFmtId="180" fontId="58" fillId="0" borderId="65" xfId="0" applyNumberFormat="1" applyFont="1" applyBorder="1">
      <alignment vertical="center"/>
    </xf>
    <xf numFmtId="180" fontId="58" fillId="0" borderId="68" xfId="0" applyNumberFormat="1" applyFont="1" applyBorder="1">
      <alignment vertical="center"/>
    </xf>
    <xf numFmtId="178" fontId="60" fillId="0" borderId="12" xfId="0" applyNumberFormat="1" applyFont="1" applyBorder="1" applyAlignment="1">
      <alignment horizontal="right"/>
    </xf>
    <xf numFmtId="176" fontId="60" fillId="0" borderId="12" xfId="0" applyNumberFormat="1" applyFont="1" applyBorder="1" applyAlignment="1">
      <alignment horizontal="right"/>
    </xf>
    <xf numFmtId="177" fontId="60" fillId="0" borderId="12" xfId="0" applyNumberFormat="1" applyFont="1" applyBorder="1" applyAlignment="1"/>
    <xf numFmtId="178" fontId="60" fillId="0" borderId="139" xfId="0" applyNumberFormat="1" applyFont="1" applyBorder="1" applyAlignment="1"/>
    <xf numFmtId="0" fontId="58" fillId="28" borderId="29" xfId="0" applyFont="1" applyFill="1" applyBorder="1" applyAlignment="1">
      <alignment horizontal="center"/>
    </xf>
    <xf numFmtId="0" fontId="55" fillId="0" borderId="99" xfId="0" applyFont="1" applyBorder="1" applyAlignment="1">
      <alignment horizontal="center"/>
    </xf>
    <xf numFmtId="178" fontId="60" fillId="0" borderId="26" xfId="0" applyNumberFormat="1" applyFont="1" applyBorder="1" applyAlignment="1"/>
    <xf numFmtId="178" fontId="60" fillId="0" borderId="141" xfId="0" applyNumberFormat="1" applyFont="1" applyBorder="1" applyAlignment="1"/>
    <xf numFmtId="178" fontId="60" fillId="0" borderId="10" xfId="0" applyNumberFormat="1" applyFont="1" applyBorder="1" applyAlignment="1"/>
    <xf numFmtId="0" fontId="0" fillId="0" borderId="138" xfId="0" applyBorder="1">
      <alignment vertical="center"/>
    </xf>
    <xf numFmtId="0" fontId="58" fillId="28" borderId="140" xfId="0" applyFont="1" applyFill="1" applyBorder="1" applyAlignment="1">
      <alignment horizontal="center"/>
    </xf>
    <xf numFmtId="181" fontId="60" fillId="0" borderId="10" xfId="0" applyNumberFormat="1" applyFont="1" applyBorder="1" applyAlignment="1">
      <alignment horizontal="right"/>
    </xf>
    <xf numFmtId="181" fontId="60" fillId="0" borderId="139" xfId="0" applyNumberFormat="1" applyFont="1" applyBorder="1" applyAlignment="1">
      <alignment horizontal="right"/>
    </xf>
    <xf numFmtId="0" fontId="58" fillId="28" borderId="43" xfId="0" applyFont="1" applyFill="1" applyBorder="1" applyAlignment="1">
      <alignment horizontal="center"/>
    </xf>
    <xf numFmtId="0" fontId="58" fillId="28" borderId="126" xfId="0" applyFont="1" applyFill="1" applyBorder="1" applyAlignment="1">
      <alignment horizontal="center"/>
    </xf>
    <xf numFmtId="181" fontId="60" fillId="0" borderId="45" xfId="0" applyNumberFormat="1" applyFont="1" applyBorder="1" applyAlignment="1">
      <alignment horizontal="right" vertical="top"/>
    </xf>
    <xf numFmtId="181" fontId="60" fillId="0" borderId="119" xfId="0" applyNumberFormat="1" applyFont="1" applyBorder="1" applyAlignment="1">
      <alignment horizontal="right" vertical="top"/>
    </xf>
    <xf numFmtId="181" fontId="60" fillId="0" borderId="139" xfId="0" applyNumberFormat="1" applyFont="1" applyBorder="1" applyAlignment="1">
      <alignment horizontal="right" vertical="top"/>
    </xf>
    <xf numFmtId="181" fontId="60" fillId="0" borderId="124" xfId="0" applyNumberFormat="1" applyFont="1" applyBorder="1" applyAlignment="1">
      <alignment horizontal="right" vertical="top"/>
    </xf>
    <xf numFmtId="181" fontId="60" fillId="0" borderId="142" xfId="0" applyNumberFormat="1" applyFont="1" applyBorder="1" applyAlignment="1">
      <alignment horizontal="right" vertical="top"/>
    </xf>
    <xf numFmtId="181" fontId="60" fillId="0" borderId="13" xfId="0" applyNumberFormat="1" applyFont="1" applyBorder="1" applyAlignment="1">
      <alignment horizontal="right" vertical="top"/>
    </xf>
    <xf numFmtId="21" fontId="60" fillId="24" borderId="126" xfId="0" applyNumberFormat="1" applyFont="1" applyFill="1" applyBorder="1" applyAlignment="1">
      <alignment horizontal="left"/>
    </xf>
    <xf numFmtId="0" fontId="71" fillId="0" borderId="143" xfId="0" applyFont="1" applyBorder="1" applyAlignment="1">
      <alignment horizontal="center" vertical="center"/>
    </xf>
    <xf numFmtId="0" fontId="72" fillId="24" borderId="118" xfId="0" applyFont="1" applyFill="1" applyBorder="1" applyAlignment="1">
      <alignment horizontal="right" vertical="center" shrinkToFit="1"/>
    </xf>
    <xf numFmtId="0" fontId="72" fillId="24" borderId="144" xfId="0" applyFont="1" applyFill="1" applyBorder="1" applyAlignment="1">
      <alignment horizontal="center" vertical="center" shrinkToFit="1"/>
    </xf>
    <xf numFmtId="182" fontId="73" fillId="24" borderId="145" xfId="0" applyNumberFormat="1" applyFont="1" applyFill="1" applyBorder="1">
      <alignment vertical="center"/>
    </xf>
    <xf numFmtId="182" fontId="73" fillId="24" borderId="146" xfId="0" applyNumberFormat="1" applyFont="1" applyFill="1" applyBorder="1">
      <alignment vertical="center"/>
    </xf>
    <xf numFmtId="182" fontId="73" fillId="24" borderId="147" xfId="0" applyNumberFormat="1" applyFont="1" applyFill="1" applyBorder="1">
      <alignment vertical="center"/>
    </xf>
    <xf numFmtId="0" fontId="10" fillId="24" borderId="144" xfId="0" applyFont="1" applyFill="1" applyBorder="1" applyAlignment="1">
      <alignment horizontal="center" vertical="center" shrinkToFit="1"/>
    </xf>
    <xf numFmtId="0" fontId="72" fillId="24" borderId="146" xfId="0" applyFont="1" applyFill="1" applyBorder="1" applyAlignment="1">
      <alignment horizontal="right" vertical="center" shrinkToFit="1"/>
    </xf>
    <xf numFmtId="182" fontId="72" fillId="0" borderId="145" xfId="0" applyNumberFormat="1" applyFont="1" applyBorder="1">
      <alignment vertical="center"/>
    </xf>
    <xf numFmtId="182" fontId="72" fillId="0" borderId="146" xfId="0" applyNumberFormat="1" applyFont="1" applyBorder="1">
      <alignment vertical="center"/>
    </xf>
    <xf numFmtId="182" fontId="72" fillId="0" borderId="147" xfId="0" applyNumberFormat="1" applyFont="1" applyBorder="1">
      <alignment vertical="center"/>
    </xf>
    <xf numFmtId="0" fontId="72" fillId="24" borderId="148" xfId="0" applyFont="1" applyFill="1" applyBorder="1" applyAlignment="1">
      <alignment horizontal="right" vertical="center" shrinkToFit="1"/>
    </xf>
    <xf numFmtId="182" fontId="73" fillId="24" borderId="149" xfId="0" applyNumberFormat="1" applyFont="1" applyFill="1" applyBorder="1">
      <alignment vertical="center"/>
    </xf>
    <xf numFmtId="182" fontId="73" fillId="24" borderId="148" xfId="0" applyNumberFormat="1" applyFont="1" applyFill="1" applyBorder="1">
      <alignment vertical="center"/>
    </xf>
    <xf numFmtId="182" fontId="73" fillId="24" borderId="150" xfId="0" applyNumberFormat="1" applyFont="1" applyFill="1" applyBorder="1">
      <alignment vertical="center"/>
    </xf>
    <xf numFmtId="0" fontId="0" fillId="0" borderId="139" xfId="0" applyBorder="1">
      <alignment vertical="center"/>
    </xf>
    <xf numFmtId="0" fontId="0" fillId="0" borderId="44" xfId="0" applyBorder="1" applyAlignment="1">
      <alignment horizontal="center" vertical="center"/>
    </xf>
    <xf numFmtId="0" fontId="0" fillId="0" borderId="123" xfId="0" applyBorder="1" applyAlignment="1">
      <alignment horizontal="center" vertical="center"/>
    </xf>
    <xf numFmtId="182" fontId="69" fillId="0" borderId="123" xfId="0" quotePrefix="1" applyNumberFormat="1" applyFont="1" applyBorder="1" applyAlignment="1">
      <alignment horizontal="center" vertical="center"/>
    </xf>
    <xf numFmtId="0" fontId="0" fillId="0" borderId="124" xfId="0" applyBorder="1" applyAlignment="1">
      <alignment horizontal="center" vertical="center"/>
    </xf>
    <xf numFmtId="0" fontId="10" fillId="0" borderId="117" xfId="48" applyFont="1" applyBorder="1" applyAlignment="1">
      <alignment horizontal="center" vertical="top" wrapText="1"/>
    </xf>
    <xf numFmtId="0" fontId="10" fillId="0" borderId="151" xfId="48" applyFont="1" applyBorder="1" applyAlignment="1">
      <alignment horizontal="center" vertical="top" wrapText="1"/>
    </xf>
    <xf numFmtId="179" fontId="10" fillId="0" borderId="152" xfId="48" applyNumberFormat="1" applyFont="1" applyBorder="1" applyAlignment="1">
      <alignment horizontal="center" vertical="center" shrinkToFit="1"/>
    </xf>
    <xf numFmtId="0" fontId="58" fillId="0" borderId="126" xfId="0" applyFont="1" applyBorder="1" applyAlignment="1">
      <alignment horizontal="center"/>
    </xf>
    <xf numFmtId="178" fontId="60" fillId="0" borderId="57" xfId="0" applyNumberFormat="1" applyFont="1" applyBorder="1" applyAlignment="1"/>
    <xf numFmtId="178" fontId="60" fillId="0" borderId="138" xfId="0" applyNumberFormat="1" applyFont="1" applyBorder="1" applyAlignment="1"/>
    <xf numFmtId="178" fontId="60" fillId="0" borderId="136" xfId="0" applyNumberFormat="1" applyFont="1" applyBorder="1" applyAlignment="1"/>
    <xf numFmtId="178" fontId="60" fillId="0" borderId="81" xfId="0" applyNumberFormat="1" applyFont="1" applyBorder="1" applyAlignment="1"/>
    <xf numFmtId="0" fontId="0" fillId="0" borderId="153" xfId="0" applyBorder="1" applyAlignment="1"/>
    <xf numFmtId="14" fontId="0" fillId="0" borderId="80" xfId="0" applyNumberFormat="1" applyBorder="1" applyAlignment="1"/>
    <xf numFmtId="0" fontId="0" fillId="25" borderId="80" xfId="0" applyFill="1" applyBorder="1" applyAlignment="1">
      <alignment horizontal="left" vertical="center"/>
    </xf>
    <xf numFmtId="0" fontId="0" fillId="25" borderId="80" xfId="0" applyFill="1" applyBorder="1" applyAlignment="1"/>
    <xf numFmtId="20" fontId="0" fillId="0" borderId="81" xfId="0" applyNumberFormat="1" applyBorder="1" applyAlignment="1"/>
    <xf numFmtId="0" fontId="0" fillId="0" borderId="154" xfId="0" applyBorder="1" applyAlignment="1"/>
    <xf numFmtId="14" fontId="0" fillId="0" borderId="133" xfId="0" applyNumberFormat="1" applyBorder="1" applyAlignment="1"/>
    <xf numFmtId="0" fontId="0" fillId="25" borderId="133" xfId="0" applyFill="1" applyBorder="1" applyAlignment="1">
      <alignment horizontal="left" vertical="center"/>
    </xf>
    <xf numFmtId="0" fontId="0" fillId="25" borderId="133" xfId="0" applyFill="1" applyBorder="1" applyAlignment="1"/>
    <xf numFmtId="20" fontId="0" fillId="0" borderId="136" xfId="0" applyNumberFormat="1" applyBorder="1" applyAlignment="1"/>
    <xf numFmtId="20" fontId="0" fillId="0" borderId="123" xfId="0" applyNumberFormat="1" applyBorder="1">
      <alignment vertical="center"/>
    </xf>
    <xf numFmtId="20" fontId="47" fillId="0" borderId="123" xfId="0" applyNumberFormat="1" applyFont="1" applyBorder="1">
      <alignment vertical="center"/>
    </xf>
    <xf numFmtId="0" fontId="0" fillId="0" borderId="133" xfId="0" applyBorder="1" applyAlignment="1">
      <alignment horizontal="left" vertical="center"/>
    </xf>
    <xf numFmtId="14" fontId="0" fillId="0" borderId="139" xfId="0" applyNumberFormat="1" applyBorder="1" applyAlignment="1"/>
    <xf numFmtId="0" fontId="0" fillId="25" borderId="139" xfId="0" applyFill="1" applyBorder="1" applyAlignment="1">
      <alignment horizontal="left" vertical="center"/>
    </xf>
    <xf numFmtId="0" fontId="0" fillId="25" borderId="139" xfId="0" applyFill="1" applyBorder="1" applyAlignment="1"/>
    <xf numFmtId="20" fontId="0" fillId="0" borderId="138" xfId="0" applyNumberFormat="1" applyBorder="1" applyAlignment="1"/>
    <xf numFmtId="20" fontId="0" fillId="0" borderId="124" xfId="0" applyNumberFormat="1" applyBorder="1">
      <alignment vertical="center"/>
    </xf>
    <xf numFmtId="20" fontId="0" fillId="0" borderId="155" xfId="0" applyNumberFormat="1" applyBorder="1">
      <alignment vertical="center"/>
    </xf>
    <xf numFmtId="182" fontId="0" fillId="0" borderId="14" xfId="0" applyNumberFormat="1" applyBorder="1">
      <alignment vertical="center"/>
    </xf>
    <xf numFmtId="0" fontId="0" fillId="29" borderId="18" xfId="0" applyFill="1" applyBorder="1">
      <alignment vertical="center"/>
    </xf>
    <xf numFmtId="0" fontId="0" fillId="29" borderId="47" xfId="0" applyFill="1" applyBorder="1">
      <alignment vertical="center"/>
    </xf>
    <xf numFmtId="0" fontId="0" fillId="29" borderId="19" xfId="0" applyFill="1" applyBorder="1" applyAlignment="1">
      <alignment horizontal="center" vertical="center"/>
    </xf>
    <xf numFmtId="0" fontId="0" fillId="29" borderId="20" xfId="0" applyFill="1" applyBorder="1" applyAlignment="1">
      <alignment horizontal="center" vertical="center"/>
    </xf>
    <xf numFmtId="0" fontId="0" fillId="0" borderId="88" xfId="0" applyBorder="1" applyAlignment="1"/>
    <xf numFmtId="56" fontId="4" fillId="29" borderId="156" xfId="0" applyNumberFormat="1" applyFont="1" applyFill="1" applyBorder="1" applyAlignment="1">
      <alignment horizontal="right" vertical="center"/>
    </xf>
    <xf numFmtId="0" fontId="0" fillId="30" borderId="123" xfId="0" applyFill="1" applyBorder="1" applyAlignment="1">
      <alignment horizontal="center" vertical="center"/>
    </xf>
    <xf numFmtId="56" fontId="4" fillId="29" borderId="20" xfId="0" applyNumberFormat="1" applyFont="1" applyFill="1" applyBorder="1" applyAlignment="1">
      <alignment horizontal="right" vertical="center"/>
    </xf>
    <xf numFmtId="0" fontId="0" fillId="30" borderId="124" xfId="0" applyFill="1" applyBorder="1" applyAlignment="1">
      <alignment horizontal="center" vertical="center"/>
    </xf>
    <xf numFmtId="0" fontId="10" fillId="29" borderId="156" xfId="0" applyFont="1" applyFill="1" applyBorder="1" applyAlignment="1">
      <alignment horizontal="center"/>
    </xf>
    <xf numFmtId="0" fontId="10" fillId="29" borderId="20" xfId="0" applyFont="1" applyFill="1" applyBorder="1" applyAlignment="1">
      <alignment horizontal="center"/>
    </xf>
    <xf numFmtId="0" fontId="0" fillId="30" borderId="133" xfId="0" applyFill="1" applyBorder="1">
      <alignment vertical="center"/>
    </xf>
    <xf numFmtId="0" fontId="0" fillId="30" borderId="0" xfId="0" applyFill="1">
      <alignment vertical="center"/>
    </xf>
    <xf numFmtId="0" fontId="0" fillId="30" borderId="139" xfId="0" applyFill="1" applyBorder="1">
      <alignment vertical="center"/>
    </xf>
    <xf numFmtId="0" fontId="0" fillId="30" borderId="80" xfId="0" applyFill="1" applyBorder="1">
      <alignment vertical="center"/>
    </xf>
    <xf numFmtId="0" fontId="54" fillId="28" borderId="0" xfId="0" applyFont="1" applyFill="1">
      <alignment vertical="center"/>
    </xf>
    <xf numFmtId="0" fontId="58" fillId="29" borderId="24" xfId="0" applyFont="1" applyFill="1" applyBorder="1" applyAlignment="1">
      <alignment horizontal="center"/>
    </xf>
    <xf numFmtId="0" fontId="52" fillId="29" borderId="34" xfId="0" applyFont="1" applyFill="1" applyBorder="1" applyAlignment="1">
      <alignment horizontal="right" vertical="center"/>
    </xf>
    <xf numFmtId="0" fontId="52" fillId="29" borderId="32" xfId="0" applyFont="1" applyFill="1" applyBorder="1" applyAlignment="1">
      <alignment horizontal="center" vertical="center"/>
    </xf>
    <xf numFmtId="0" fontId="58" fillId="0" borderId="140" xfId="0" applyFont="1" applyBorder="1" applyAlignment="1">
      <alignment horizontal="center"/>
    </xf>
    <xf numFmtId="0" fontId="0" fillId="31" borderId="19" xfId="0" applyFill="1" applyBorder="1" applyAlignment="1">
      <alignment horizontal="center" vertical="center"/>
    </xf>
    <xf numFmtId="0" fontId="0" fillId="31" borderId="123" xfId="0" applyFill="1" applyBorder="1" applyAlignment="1">
      <alignment horizontal="center" vertical="center"/>
    </xf>
    <xf numFmtId="0" fontId="0" fillId="31" borderId="133" xfId="0" applyFill="1" applyBorder="1">
      <alignment vertical="center"/>
    </xf>
    <xf numFmtId="180" fontId="4" fillId="29" borderId="156" xfId="0" applyNumberFormat="1" applyFont="1" applyFill="1" applyBorder="1" applyAlignment="1">
      <alignment horizontal="center" vertical="center"/>
    </xf>
    <xf numFmtId="180" fontId="4" fillId="29" borderId="20" xfId="0" applyNumberFormat="1" applyFont="1" applyFill="1" applyBorder="1" applyAlignment="1">
      <alignment horizontal="center" vertical="center"/>
    </xf>
    <xf numFmtId="14" fontId="46" fillId="29" borderId="94" xfId="0" applyNumberFormat="1" applyFont="1" applyFill="1" applyBorder="1" applyAlignment="1">
      <alignment horizontal="left" vertical="center"/>
    </xf>
    <xf numFmtId="0" fontId="0" fillId="32" borderId="133" xfId="0" applyFill="1" applyBorder="1" applyAlignment="1">
      <alignment horizontal="left" vertical="center"/>
    </xf>
    <xf numFmtId="0" fontId="0" fillId="32" borderId="139" xfId="0" applyFill="1" applyBorder="1" applyAlignment="1">
      <alignment horizontal="left" vertical="center"/>
    </xf>
    <xf numFmtId="0" fontId="0" fillId="32" borderId="80" xfId="0" applyFill="1" applyBorder="1" applyAlignment="1">
      <alignment horizontal="left" vertical="center"/>
    </xf>
    <xf numFmtId="0" fontId="0" fillId="30" borderId="0" xfId="0" applyFill="1" applyAlignment="1">
      <alignment horizontal="center" vertical="center"/>
    </xf>
    <xf numFmtId="0" fontId="0" fillId="0" borderId="43" xfId="0" applyBorder="1" applyAlignment="1"/>
    <xf numFmtId="14" fontId="0" fillId="0" borderId="29" xfId="0" applyNumberFormat="1" applyBorder="1" applyAlignment="1"/>
    <xf numFmtId="0" fontId="0" fillId="30" borderId="29" xfId="0" applyFill="1" applyBorder="1">
      <alignment vertical="center"/>
    </xf>
    <xf numFmtId="0" fontId="0" fillId="32" borderId="29" xfId="0" applyFill="1" applyBorder="1" applyAlignment="1">
      <alignment horizontal="left" vertical="center"/>
    </xf>
    <xf numFmtId="0" fontId="0" fillId="25" borderId="29" xfId="0" applyFill="1" applyBorder="1" applyAlignment="1">
      <alignment horizontal="left" vertical="center"/>
    </xf>
    <xf numFmtId="0" fontId="0" fillId="25" borderId="29" xfId="0" applyFill="1" applyBorder="1" applyAlignment="1"/>
    <xf numFmtId="20" fontId="0" fillId="0" borderId="126" xfId="0" applyNumberFormat="1" applyBorder="1" applyAlignment="1"/>
    <xf numFmtId="20" fontId="0" fillId="0" borderId="44" xfId="0" applyNumberFormat="1" applyBorder="1">
      <alignment vertical="center"/>
    </xf>
    <xf numFmtId="0" fontId="0" fillId="0" borderId="158" xfId="0" applyBorder="1" applyAlignment="1"/>
    <xf numFmtId="0" fontId="0" fillId="0" borderId="159" xfId="0" applyBorder="1" applyAlignment="1"/>
    <xf numFmtId="0" fontId="0" fillId="30" borderId="159" xfId="0" applyFill="1" applyBorder="1" applyAlignment="1"/>
    <xf numFmtId="0" fontId="0" fillId="32" borderId="159" xfId="0" applyFill="1" applyBorder="1" applyAlignment="1"/>
    <xf numFmtId="0" fontId="0" fillId="0" borderId="160" xfId="0" applyBorder="1" applyAlignment="1"/>
    <xf numFmtId="0" fontId="0" fillId="0" borderId="161" xfId="0" applyBorder="1" applyAlignment="1"/>
    <xf numFmtId="180" fontId="4" fillId="29" borderId="47" xfId="0" applyNumberFormat="1" applyFont="1" applyFill="1" applyBorder="1" applyAlignment="1">
      <alignment horizontal="center" vertical="center"/>
    </xf>
    <xf numFmtId="0" fontId="10" fillId="29" borderId="47" xfId="0" applyFont="1" applyFill="1" applyBorder="1" applyAlignment="1">
      <alignment horizontal="center"/>
    </xf>
    <xf numFmtId="0" fontId="0" fillId="29" borderId="47" xfId="0" applyFill="1" applyBorder="1" applyAlignment="1">
      <alignment horizontal="center" vertical="center"/>
    </xf>
    <xf numFmtId="0" fontId="0" fillId="29" borderId="157" xfId="0" applyFill="1" applyBorder="1" applyAlignment="1">
      <alignment horizontal="center" vertical="center"/>
    </xf>
    <xf numFmtId="180" fontId="4" fillId="29" borderId="157" xfId="0" applyNumberFormat="1" applyFont="1" applyFill="1" applyBorder="1" applyAlignment="1">
      <alignment horizontal="center" vertical="center"/>
    </xf>
    <xf numFmtId="0" fontId="8" fillId="29" borderId="157" xfId="0" applyFont="1" applyFill="1" applyBorder="1" applyAlignment="1">
      <alignment horizontal="center"/>
    </xf>
    <xf numFmtId="0" fontId="0" fillId="0" borderId="43" xfId="0" applyBorder="1" applyAlignment="1">
      <alignment horizontal="center" vertical="center"/>
    </xf>
    <xf numFmtId="0" fontId="0" fillId="0" borderId="29" xfId="0" applyBorder="1">
      <alignment vertical="center"/>
    </xf>
    <xf numFmtId="0" fontId="0" fillId="0" borderId="44" xfId="0" applyBorder="1">
      <alignment vertical="center"/>
    </xf>
    <xf numFmtId="0" fontId="14" fillId="0" borderId="162" xfId="0" applyFont="1" applyBorder="1" applyAlignment="1">
      <alignment horizontal="center"/>
    </xf>
    <xf numFmtId="0" fontId="0" fillId="0" borderId="47" xfId="0" applyBorder="1" applyAlignment="1">
      <alignment horizontal="center" vertical="center"/>
    </xf>
    <xf numFmtId="56" fontId="4" fillId="29" borderId="47" xfId="0" applyNumberFormat="1" applyFont="1" applyFill="1" applyBorder="1" applyAlignment="1">
      <alignment horizontal="right" vertical="center"/>
    </xf>
    <xf numFmtId="0" fontId="0" fillId="30" borderId="44" xfId="0" applyFill="1" applyBorder="1" applyAlignment="1">
      <alignment horizontal="center" vertical="center"/>
    </xf>
    <xf numFmtId="176" fontId="14" fillId="0" borderId="158" xfId="0" applyNumberFormat="1" applyFont="1" applyBorder="1" applyAlignment="1">
      <alignment horizontal="center"/>
    </xf>
    <xf numFmtId="0" fontId="0" fillId="0" borderId="159" xfId="0" applyBorder="1" applyAlignment="1">
      <alignment horizontal="center" vertical="center"/>
    </xf>
    <xf numFmtId="0" fontId="0" fillId="0" borderId="161" xfId="0" applyBorder="1" applyAlignment="1">
      <alignment horizontal="center" vertical="center"/>
    </xf>
    <xf numFmtId="0" fontId="14" fillId="0" borderId="157" xfId="0" applyFont="1" applyBorder="1" applyAlignment="1">
      <alignment horizontal="center"/>
    </xf>
    <xf numFmtId="0" fontId="0" fillId="0" borderId="157" xfId="0" applyBorder="1" applyAlignment="1">
      <alignment horizontal="center" vertical="center"/>
    </xf>
    <xf numFmtId="0" fontId="0" fillId="30" borderId="161" xfId="0" applyFill="1" applyBorder="1" applyAlignment="1">
      <alignment horizontal="center" vertical="center"/>
    </xf>
    <xf numFmtId="0" fontId="10" fillId="29" borderId="157" xfId="0" applyFont="1" applyFill="1" applyBorder="1" applyAlignment="1">
      <alignment horizontal="center"/>
    </xf>
    <xf numFmtId="0" fontId="75" fillId="29" borderId="47" xfId="0" applyFont="1" applyFill="1" applyBorder="1">
      <alignment vertical="center"/>
    </xf>
    <xf numFmtId="0" fontId="75" fillId="29" borderId="19" xfId="0" applyFont="1" applyFill="1" applyBorder="1">
      <alignment vertical="center"/>
    </xf>
    <xf numFmtId="0" fontId="75" fillId="29" borderId="20" xfId="0" applyFont="1" applyFill="1" applyBorder="1">
      <alignment vertical="center"/>
    </xf>
    <xf numFmtId="182" fontId="55" fillId="0" borderId="33" xfId="0" applyNumberFormat="1" applyFont="1" applyBorder="1" applyAlignment="1">
      <alignment horizontal="center" vertical="center"/>
    </xf>
    <xf numFmtId="180" fontId="55" fillId="29" borderId="41" xfId="0" applyNumberFormat="1" applyFont="1" applyFill="1" applyBorder="1" applyAlignment="1">
      <alignment horizontal="center" vertical="center"/>
    </xf>
    <xf numFmtId="56" fontId="9" fillId="25" borderId="57" xfId="0" applyNumberFormat="1" applyFont="1" applyFill="1" applyBorder="1" applyAlignment="1">
      <alignment vertical="center" shrinkToFit="1"/>
    </xf>
    <xf numFmtId="183" fontId="10" fillId="25" borderId="58" xfId="0" applyNumberFormat="1" applyFont="1" applyFill="1" applyBorder="1" applyAlignment="1">
      <alignment vertical="center" shrinkToFit="1"/>
    </xf>
    <xf numFmtId="183" fontId="22" fillId="25" borderId="58" xfId="0" applyNumberFormat="1" applyFont="1" applyFill="1" applyBorder="1" applyAlignment="1">
      <alignment vertical="center" wrapText="1" shrinkToFit="1"/>
    </xf>
    <xf numFmtId="183" fontId="10" fillId="25" borderId="59" xfId="0" applyNumberFormat="1" applyFont="1" applyFill="1" applyBorder="1" applyAlignment="1">
      <alignment vertical="center" shrinkToFit="1"/>
    </xf>
    <xf numFmtId="0" fontId="8" fillId="25" borderId="60" xfId="0" applyFont="1" applyFill="1" applyBorder="1" applyAlignment="1">
      <alignment horizontal="center" vertical="center" shrinkToFit="1"/>
    </xf>
    <xf numFmtId="0" fontId="10" fillId="25" borderId="61" xfId="0" applyFont="1" applyFill="1" applyBorder="1" applyAlignment="1">
      <alignment horizontal="center" vertical="center" shrinkToFit="1"/>
    </xf>
    <xf numFmtId="176" fontId="8" fillId="25" borderId="62" xfId="0" applyNumberFormat="1" applyFont="1" applyFill="1" applyBorder="1" applyAlignment="1">
      <alignment horizontal="center" vertical="center" shrinkToFit="1"/>
    </xf>
    <xf numFmtId="0" fontId="8" fillId="25" borderId="63" xfId="0" applyFont="1" applyFill="1" applyBorder="1" applyAlignment="1">
      <alignment horizontal="center" vertical="center" shrinkToFit="1"/>
    </xf>
    <xf numFmtId="176" fontId="8" fillId="25" borderId="66" xfId="0" applyNumberFormat="1" applyFont="1" applyFill="1" applyBorder="1" applyAlignment="1">
      <alignment horizontal="center" vertical="center" shrinkToFit="1"/>
    </xf>
    <xf numFmtId="0" fontId="8" fillId="25" borderId="67" xfId="0" applyFont="1" applyFill="1" applyBorder="1" applyAlignment="1">
      <alignment horizontal="center" vertical="center" shrinkToFit="1"/>
    </xf>
    <xf numFmtId="0" fontId="8" fillId="25" borderId="91" xfId="0" applyFont="1" applyFill="1" applyBorder="1" applyAlignment="1">
      <alignment horizontal="center" vertical="center" shrinkToFit="1"/>
    </xf>
    <xf numFmtId="0" fontId="8" fillId="25" borderId="66" xfId="0" applyFont="1" applyFill="1" applyBorder="1" applyAlignment="1">
      <alignment horizontal="center" vertical="center" shrinkToFit="1"/>
    </xf>
    <xf numFmtId="176" fontId="8" fillId="25" borderId="91" xfId="0" applyNumberFormat="1" applyFont="1" applyFill="1" applyBorder="1" applyAlignment="1">
      <alignment horizontal="center" vertical="center" shrinkToFit="1"/>
    </xf>
    <xf numFmtId="176" fontId="8" fillId="25" borderId="73" xfId="0" applyNumberFormat="1" applyFont="1" applyFill="1" applyBorder="1" applyAlignment="1">
      <alignment horizontal="center" vertical="center" shrinkToFit="1"/>
    </xf>
    <xf numFmtId="0" fontId="8" fillId="25" borderId="74" xfId="0" applyFont="1" applyFill="1" applyBorder="1" applyAlignment="1">
      <alignment horizontal="center" vertical="center" shrinkToFit="1"/>
    </xf>
    <xf numFmtId="176" fontId="8" fillId="25" borderId="92" xfId="0" applyNumberFormat="1" applyFont="1" applyFill="1" applyBorder="1" applyAlignment="1">
      <alignment horizontal="center" vertical="center" shrinkToFit="1"/>
    </xf>
    <xf numFmtId="182" fontId="78" fillId="0" borderId="146" xfId="49" applyNumberFormat="1" applyFont="1" applyBorder="1" applyAlignment="1">
      <alignment vertical="center" wrapText="1"/>
    </xf>
    <xf numFmtId="0" fontId="76" fillId="0" borderId="146" xfId="49" applyBorder="1"/>
    <xf numFmtId="0" fontId="76" fillId="0" borderId="0" xfId="49"/>
    <xf numFmtId="182" fontId="79" fillId="0" borderId="146" xfId="49" applyNumberFormat="1" applyFont="1" applyBorder="1" applyAlignment="1">
      <alignment vertical="center" wrapText="1"/>
    </xf>
    <xf numFmtId="0" fontId="10" fillId="0" borderId="146" xfId="49" applyFont="1" applyBorder="1" applyAlignment="1">
      <alignment horizontal="center" vertical="center" shrinkToFit="1"/>
    </xf>
    <xf numFmtId="0" fontId="72" fillId="0" borderId="146" xfId="49" applyFont="1" applyBorder="1" applyAlignment="1">
      <alignment horizontal="center" vertical="center" shrinkToFit="1"/>
    </xf>
    <xf numFmtId="0" fontId="9" fillId="0" borderId="146" xfId="49" applyFont="1" applyBorder="1" applyAlignment="1">
      <alignment horizontal="right" vertical="center" shrinkToFit="1"/>
    </xf>
    <xf numFmtId="182" fontId="79" fillId="0" borderId="145" xfId="49" applyNumberFormat="1" applyFont="1" applyBorder="1" applyAlignment="1">
      <alignment horizontal="center" vertical="center"/>
    </xf>
    <xf numFmtId="49" fontId="76" fillId="0" borderId="0" xfId="49" applyNumberFormat="1" applyAlignment="1">
      <alignment horizontal="center" vertical="center"/>
    </xf>
    <xf numFmtId="0" fontId="35" fillId="0" borderId="29" xfId="49" applyFont="1" applyBorder="1" applyAlignment="1">
      <alignment horizontal="center" vertical="center" shrinkToFit="1"/>
    </xf>
    <xf numFmtId="0" fontId="9" fillId="0" borderId="29" xfId="49" applyFont="1" applyBorder="1" applyAlignment="1">
      <alignment horizontal="right" vertical="center" shrinkToFit="1"/>
    </xf>
    <xf numFmtId="0" fontId="72" fillId="0" borderId="29" xfId="49" applyFont="1" applyBorder="1" applyAlignment="1">
      <alignment horizontal="center" vertical="center" shrinkToFit="1"/>
    </xf>
    <xf numFmtId="0" fontId="35" fillId="0" borderId="146" xfId="49" applyFont="1" applyBorder="1" applyAlignment="1">
      <alignment horizontal="center" vertical="center" shrinkToFit="1"/>
    </xf>
    <xf numFmtId="0" fontId="10" fillId="0" borderId="146" xfId="49" applyFont="1" applyBorder="1" applyAlignment="1">
      <alignment horizontal="right" shrinkToFit="1"/>
    </xf>
    <xf numFmtId="182" fontId="79" fillId="0" borderId="146" xfId="49" applyNumberFormat="1" applyFont="1" applyBorder="1" applyAlignment="1">
      <alignment horizontal="center" vertical="center"/>
    </xf>
    <xf numFmtId="0" fontId="72" fillId="0" borderId="146" xfId="49" applyFont="1" applyBorder="1" applyAlignment="1">
      <alignment horizontal="center" vertical="center"/>
    </xf>
    <xf numFmtId="0" fontId="10" fillId="0" borderId="146" xfId="49" applyFont="1" applyBorder="1" applyAlignment="1">
      <alignment horizontal="right" vertical="center" shrinkToFit="1"/>
    </xf>
    <xf numFmtId="0" fontId="80" fillId="0" borderId="146" xfId="49" applyFont="1" applyBorder="1" applyAlignment="1">
      <alignment horizontal="center" vertical="center" shrinkToFit="1"/>
    </xf>
    <xf numFmtId="0" fontId="74" fillId="0" borderId="146" xfId="49" applyFont="1" applyBorder="1" applyAlignment="1">
      <alignment vertical="center" shrinkToFit="1"/>
    </xf>
    <xf numFmtId="0" fontId="81" fillId="0" borderId="146" xfId="49" applyFont="1" applyBorder="1" applyAlignment="1">
      <alignment horizontal="center" vertical="center" shrinkToFit="1"/>
    </xf>
    <xf numFmtId="0" fontId="10" fillId="0" borderId="29" xfId="49" applyFont="1" applyBorder="1" applyAlignment="1">
      <alignment horizontal="right" shrinkToFit="1"/>
    </xf>
    <xf numFmtId="0" fontId="72" fillId="0" borderId="146" xfId="49" applyFont="1" applyBorder="1" applyAlignment="1">
      <alignment horizontal="right" vertical="center" shrinkToFit="1"/>
    </xf>
    <xf numFmtId="0" fontId="72" fillId="0" borderId="154" xfId="49" applyFont="1" applyBorder="1" applyAlignment="1">
      <alignment horizontal="center" vertical="center"/>
    </xf>
    <xf numFmtId="0" fontId="81" fillId="0" borderId="146" xfId="49" applyFont="1" applyBorder="1" applyAlignment="1">
      <alignment horizontal="center" vertical="center"/>
    </xf>
    <xf numFmtId="0" fontId="72" fillId="0" borderId="148" xfId="49" applyFont="1" applyBorder="1" applyAlignment="1">
      <alignment horizontal="center" vertical="center"/>
    </xf>
    <xf numFmtId="0" fontId="80" fillId="0" borderId="148" xfId="49" applyFont="1" applyBorder="1" applyAlignment="1">
      <alignment horizontal="center" vertical="center" shrinkToFit="1"/>
    </xf>
    <xf numFmtId="179" fontId="60" fillId="0" borderId="10" xfId="0" applyNumberFormat="1" applyFont="1" applyBorder="1" applyAlignment="1">
      <alignment horizontal="right"/>
    </xf>
    <xf numFmtId="0" fontId="74" fillId="0" borderId="164" xfId="0" applyFont="1" applyBorder="1" applyAlignment="1">
      <alignment vertical="center" shrinkToFit="1"/>
    </xf>
    <xf numFmtId="0" fontId="72" fillId="0" borderId="163" xfId="0" applyFont="1" applyBorder="1" applyAlignment="1">
      <alignment horizontal="center" vertical="center"/>
    </xf>
    <xf numFmtId="182" fontId="73" fillId="28" borderId="145" xfId="0" applyNumberFormat="1" applyFont="1" applyFill="1" applyBorder="1">
      <alignment vertical="center"/>
    </xf>
    <xf numFmtId="182" fontId="73" fillId="28" borderId="146" xfId="0" applyNumberFormat="1" applyFont="1" applyFill="1" applyBorder="1">
      <alignment vertical="center"/>
    </xf>
    <xf numFmtId="182" fontId="73" fillId="28" borderId="147" xfId="0" applyNumberFormat="1" applyFont="1" applyFill="1" applyBorder="1">
      <alignment vertical="center"/>
    </xf>
    <xf numFmtId="182" fontId="73" fillId="28" borderId="126" xfId="0" applyNumberFormat="1" applyFont="1" applyFill="1" applyBorder="1">
      <alignment vertical="center"/>
    </xf>
    <xf numFmtId="14" fontId="13" fillId="28" borderId="0" xfId="0" quotePrefix="1" applyNumberFormat="1" applyFont="1" applyFill="1" applyAlignment="1">
      <alignment horizontal="right" vertical="center"/>
    </xf>
    <xf numFmtId="56" fontId="48" fillId="24" borderId="101" xfId="0" applyNumberFormat="1" applyFont="1" applyFill="1" applyBorder="1" applyAlignment="1">
      <alignment horizontal="left" vertical="top" wrapText="1"/>
    </xf>
    <xf numFmtId="0" fontId="48" fillId="24" borderId="95" xfId="0" applyFont="1" applyFill="1" applyBorder="1" applyAlignment="1">
      <alignment horizontal="left" vertical="top" wrapText="1"/>
    </xf>
    <xf numFmtId="0" fontId="48" fillId="24" borderId="0" xfId="0" applyFont="1" applyFill="1" applyAlignment="1">
      <alignment horizontal="left" vertical="top" wrapText="1"/>
    </xf>
    <xf numFmtId="0" fontId="48" fillId="24" borderId="96" xfId="0" applyFont="1" applyFill="1" applyBorder="1" applyAlignment="1">
      <alignment horizontal="left" vertical="top" wrapText="1"/>
    </xf>
    <xf numFmtId="0" fontId="48" fillId="24" borderId="88" xfId="0" applyFont="1" applyFill="1" applyBorder="1" applyAlignment="1">
      <alignment horizontal="left" vertical="top" wrapText="1"/>
    </xf>
    <xf numFmtId="0" fontId="49" fillId="24" borderId="0" xfId="0" applyFont="1" applyFill="1" applyAlignment="1">
      <alignment horizontal="right" vertical="top"/>
    </xf>
    <xf numFmtId="0" fontId="65" fillId="24" borderId="0" xfId="0" applyFont="1" applyFill="1" applyAlignment="1">
      <alignment horizontal="center" wrapText="1"/>
    </xf>
    <xf numFmtId="0" fontId="49" fillId="24" borderId="0" xfId="0" applyFont="1" applyFill="1" applyAlignment="1">
      <alignment horizontal="center"/>
    </xf>
    <xf numFmtId="0" fontId="55" fillId="24" borderId="98" xfId="0" applyFont="1" applyFill="1" applyBorder="1" applyAlignment="1">
      <alignment horizontal="center"/>
    </xf>
    <xf numFmtId="0" fontId="55" fillId="24" borderId="99" xfId="0" applyFont="1" applyFill="1" applyBorder="1" applyAlignment="1">
      <alignment horizontal="center"/>
    </xf>
    <xf numFmtId="0" fontId="61" fillId="24" borderId="100" xfId="0" applyFont="1" applyFill="1" applyBorder="1" applyAlignment="1">
      <alignment horizontal="left" vertical="top" wrapText="1"/>
    </xf>
    <xf numFmtId="0" fontId="61" fillId="24" borderId="101" xfId="0" applyFont="1" applyFill="1" applyBorder="1" applyAlignment="1">
      <alignment horizontal="left" vertical="top" wrapText="1"/>
    </xf>
    <xf numFmtId="0" fontId="61" fillId="24" borderId="95" xfId="0" applyFont="1" applyFill="1" applyBorder="1" applyAlignment="1">
      <alignment horizontal="left" vertical="top" wrapText="1"/>
    </xf>
    <xf numFmtId="0" fontId="61" fillId="24" borderId="102" xfId="0" applyFont="1" applyFill="1" applyBorder="1" applyAlignment="1">
      <alignment horizontal="left" vertical="top" wrapText="1"/>
    </xf>
    <xf numFmtId="0" fontId="61" fillId="24" borderId="0" xfId="0" applyFont="1" applyFill="1" applyAlignment="1">
      <alignment horizontal="left" vertical="top" wrapText="1"/>
    </xf>
    <xf numFmtId="0" fontId="61" fillId="24" borderId="96" xfId="0" applyFont="1" applyFill="1" applyBorder="1" applyAlignment="1">
      <alignment horizontal="left" vertical="top" wrapText="1"/>
    </xf>
    <xf numFmtId="0" fontId="61" fillId="24" borderId="103" xfId="0" applyFont="1" applyFill="1" applyBorder="1" applyAlignment="1">
      <alignment horizontal="left" vertical="top" wrapText="1"/>
    </xf>
    <xf numFmtId="0" fontId="61" fillId="24" borderId="89" xfId="0" applyFont="1" applyFill="1" applyBorder="1" applyAlignment="1">
      <alignment horizontal="left" vertical="top" wrapText="1"/>
    </xf>
    <xf numFmtId="0" fontId="61" fillId="24" borderId="93" xfId="0" applyFont="1" applyFill="1" applyBorder="1" applyAlignment="1">
      <alignment horizontal="left" vertical="top" wrapText="1"/>
    </xf>
    <xf numFmtId="0" fontId="48" fillId="29" borderId="101" xfId="0" applyFont="1" applyFill="1" applyBorder="1" applyAlignment="1">
      <alignment horizontal="left" vertical="top" wrapText="1"/>
    </xf>
    <xf numFmtId="0" fontId="48" fillId="29" borderId="95" xfId="0" applyFont="1" applyFill="1" applyBorder="1" applyAlignment="1">
      <alignment horizontal="left" vertical="top" wrapText="1"/>
    </xf>
    <xf numFmtId="0" fontId="60" fillId="24" borderId="90" xfId="0" applyFont="1" applyFill="1" applyBorder="1" applyAlignment="1">
      <alignment horizontal="left" vertical="top" wrapText="1"/>
    </xf>
    <xf numFmtId="0" fontId="60" fillId="24" borderId="101" xfId="0" applyFont="1" applyFill="1" applyBorder="1" applyAlignment="1">
      <alignment horizontal="left" vertical="top" wrapText="1"/>
    </xf>
    <xf numFmtId="0" fontId="60" fillId="24" borderId="104" xfId="0" applyFont="1" applyFill="1" applyBorder="1" applyAlignment="1">
      <alignment horizontal="left" vertical="top" wrapText="1"/>
    </xf>
    <xf numFmtId="0" fontId="60" fillId="24" borderId="88" xfId="0" applyFont="1" applyFill="1" applyBorder="1" applyAlignment="1">
      <alignment horizontal="left" vertical="top" wrapText="1"/>
    </xf>
    <xf numFmtId="0" fontId="60" fillId="24" borderId="0" xfId="0" applyFont="1" applyFill="1" applyAlignment="1">
      <alignment horizontal="left" vertical="top" wrapText="1"/>
    </xf>
    <xf numFmtId="0" fontId="60" fillId="24" borderId="25" xfId="0" applyFont="1" applyFill="1" applyBorder="1" applyAlignment="1">
      <alignment horizontal="left" vertical="top" wrapText="1"/>
    </xf>
    <xf numFmtId="0" fontId="60" fillId="24" borderId="81" xfId="0" applyFont="1" applyFill="1" applyBorder="1" applyAlignment="1">
      <alignment horizontal="left" vertical="top" wrapText="1"/>
    </xf>
    <xf numFmtId="0" fontId="60" fillId="24" borderId="34" xfId="0" applyFont="1" applyFill="1" applyBorder="1" applyAlignment="1">
      <alignment horizontal="left" vertical="top" wrapText="1"/>
    </xf>
    <xf numFmtId="0" fontId="60" fillId="24" borderId="105" xfId="0" applyFont="1" applyFill="1" applyBorder="1" applyAlignment="1">
      <alignment horizontal="left" vertical="top" wrapText="1"/>
    </xf>
    <xf numFmtId="0" fontId="48" fillId="29" borderId="0" xfId="0" applyFont="1" applyFill="1" applyAlignment="1">
      <alignment horizontal="left" vertical="top" wrapText="1"/>
    </xf>
    <xf numFmtId="0" fontId="48" fillId="29" borderId="96" xfId="0" applyFont="1" applyFill="1" applyBorder="1" applyAlignment="1">
      <alignment horizontal="left" vertical="top" wrapText="1"/>
    </xf>
    <xf numFmtId="0" fontId="58" fillId="24" borderId="100" xfId="0" applyFont="1" applyFill="1" applyBorder="1" applyAlignment="1">
      <alignment horizontal="left" vertical="top" wrapText="1"/>
    </xf>
    <xf numFmtId="0" fontId="58" fillId="24" borderId="101" xfId="0" applyFont="1" applyFill="1" applyBorder="1" applyAlignment="1">
      <alignment horizontal="left" vertical="top" wrapText="1"/>
    </xf>
    <xf numFmtId="0" fontId="58" fillId="24" borderId="95" xfId="0" applyFont="1" applyFill="1" applyBorder="1" applyAlignment="1">
      <alignment horizontal="left" vertical="top" wrapText="1"/>
    </xf>
    <xf numFmtId="0" fontId="58" fillId="24" borderId="102" xfId="0" applyFont="1" applyFill="1" applyBorder="1" applyAlignment="1">
      <alignment horizontal="left" vertical="top" wrapText="1"/>
    </xf>
    <xf numFmtId="0" fontId="58" fillId="24" borderId="0" xfId="0" applyFont="1" applyFill="1" applyAlignment="1">
      <alignment horizontal="left" vertical="top" wrapText="1"/>
    </xf>
    <xf numFmtId="0" fontId="58" fillId="24" borderId="96" xfId="0" applyFont="1" applyFill="1" applyBorder="1" applyAlignment="1">
      <alignment horizontal="left" vertical="top" wrapText="1"/>
    </xf>
    <xf numFmtId="0" fontId="58" fillId="24" borderId="106" xfId="0" applyFont="1" applyFill="1" applyBorder="1" applyAlignment="1">
      <alignment horizontal="left" vertical="top" wrapText="1"/>
    </xf>
    <xf numFmtId="0" fontId="58" fillId="24" borderId="34" xfId="0" applyFont="1" applyFill="1" applyBorder="1" applyAlignment="1">
      <alignment horizontal="left" vertical="top" wrapText="1"/>
    </xf>
    <xf numFmtId="0" fontId="58" fillId="24" borderId="97" xfId="0" applyFont="1" applyFill="1" applyBorder="1" applyAlignment="1">
      <alignment horizontal="left" vertical="top" wrapText="1"/>
    </xf>
    <xf numFmtId="0" fontId="48" fillId="24" borderId="34" xfId="0" applyFont="1" applyFill="1" applyBorder="1" applyAlignment="1">
      <alignment horizontal="center" vertical="top" wrapText="1"/>
    </xf>
    <xf numFmtId="0" fontId="48" fillId="24" borderId="97" xfId="0" applyFont="1" applyFill="1" applyBorder="1" applyAlignment="1">
      <alignment horizontal="center" vertical="top" wrapText="1"/>
    </xf>
    <xf numFmtId="0" fontId="48" fillId="24" borderId="107" xfId="0" applyFont="1" applyFill="1" applyBorder="1" applyAlignment="1">
      <alignment horizontal="left" vertical="top" wrapText="1"/>
    </xf>
    <xf numFmtId="0" fontId="48" fillId="24" borderId="101" xfId="0" applyFont="1" applyFill="1" applyBorder="1" applyAlignment="1">
      <alignment horizontal="left" vertical="top" wrapText="1"/>
    </xf>
    <xf numFmtId="0" fontId="49" fillId="24" borderId="0" xfId="0" applyFont="1" applyFill="1" applyAlignment="1">
      <alignment horizontal="center" wrapText="1"/>
    </xf>
    <xf numFmtId="0" fontId="58" fillId="0" borderId="52" xfId="0" applyFont="1" applyBorder="1" applyAlignment="1">
      <alignment horizontal="left" shrinkToFit="1"/>
    </xf>
    <xf numFmtId="0" fontId="58" fillId="0" borderId="0" xfId="0" applyFont="1" applyAlignment="1">
      <alignment horizontal="left" shrinkToFit="1"/>
    </xf>
    <xf numFmtId="0" fontId="58" fillId="0" borderId="0" xfId="0" applyFont="1" applyAlignment="1">
      <alignment horizontal="right" vertical="center" shrinkToFit="1"/>
    </xf>
    <xf numFmtId="0" fontId="58" fillId="0" borderId="106" xfId="0" applyFont="1" applyBorder="1" applyAlignment="1">
      <alignment horizontal="center" vertical="center"/>
    </xf>
    <xf numFmtId="0" fontId="58" fillId="0" borderId="34" xfId="0" applyFont="1" applyBorder="1" applyAlignment="1">
      <alignment horizontal="center" vertical="center"/>
    </xf>
    <xf numFmtId="0" fontId="58" fillId="0" borderId="97" xfId="0" applyFont="1" applyBorder="1" applyAlignment="1">
      <alignment horizontal="center" vertical="center"/>
    </xf>
    <xf numFmtId="0" fontId="58" fillId="0" borderId="0" xfId="0" applyFont="1" applyAlignment="1">
      <alignment horizontal="center" shrinkToFit="1"/>
    </xf>
    <xf numFmtId="0" fontId="49" fillId="0" borderId="0" xfId="0" applyFont="1" applyAlignment="1">
      <alignment horizontal="center" vertical="center"/>
    </xf>
    <xf numFmtId="0" fontId="52" fillId="0" borderId="0" xfId="0" applyFont="1" applyAlignment="1">
      <alignment horizontal="center" vertical="center"/>
    </xf>
    <xf numFmtId="0" fontId="58" fillId="0" borderId="15" xfId="0" applyFont="1" applyBorder="1" applyAlignment="1">
      <alignment horizontal="center" vertical="center"/>
    </xf>
    <xf numFmtId="0" fontId="58" fillId="0" borderId="16" xfId="0" applyFont="1" applyBorder="1" applyAlignment="1">
      <alignment horizontal="center" vertical="center"/>
    </xf>
    <xf numFmtId="0" fontId="60" fillId="0" borderId="32" xfId="0" applyFont="1" applyBorder="1" applyAlignment="1">
      <alignment horizontal="center" vertical="center" wrapText="1"/>
    </xf>
    <xf numFmtId="0" fontId="60" fillId="0" borderId="14" xfId="0" applyFont="1" applyBorder="1" applyAlignment="1">
      <alignment horizontal="center" vertical="center" wrapText="1"/>
    </xf>
    <xf numFmtId="0" fontId="58" fillId="0" borderId="32" xfId="0" applyFont="1" applyBorder="1" applyAlignment="1">
      <alignment horizontal="center" vertical="center" shrinkToFit="1"/>
    </xf>
    <xf numFmtId="0" fontId="58" fillId="0" borderId="14" xfId="0" applyFont="1" applyBorder="1" applyAlignment="1">
      <alignment horizontal="center" vertical="center" shrinkToFit="1"/>
    </xf>
    <xf numFmtId="0" fontId="58" fillId="0" borderId="32" xfId="0" applyFont="1" applyBorder="1" applyAlignment="1">
      <alignment horizontal="center" vertical="center"/>
    </xf>
    <xf numFmtId="0" fontId="58" fillId="0" borderId="14" xfId="0" applyFont="1" applyBorder="1" applyAlignment="1">
      <alignment horizontal="center" vertical="center"/>
    </xf>
    <xf numFmtId="0" fontId="58" fillId="0" borderId="32" xfId="0" applyFont="1" applyBorder="1" applyAlignment="1">
      <alignment horizontal="center" vertical="center" textRotation="255"/>
    </xf>
    <xf numFmtId="0" fontId="58" fillId="0" borderId="14" xfId="0" applyFont="1" applyBorder="1" applyAlignment="1">
      <alignment horizontal="center" vertical="center" textRotation="255"/>
    </xf>
    <xf numFmtId="0" fontId="58" fillId="0" borderId="108" xfId="0" applyFont="1" applyBorder="1" applyAlignment="1">
      <alignment horizontal="center" vertical="center" textRotation="255"/>
    </xf>
    <xf numFmtId="0" fontId="58" fillId="0" borderId="109" xfId="0" applyFont="1" applyBorder="1" applyAlignment="1">
      <alignment horizontal="center" vertical="center" textRotation="255"/>
    </xf>
    <xf numFmtId="56" fontId="10" fillId="0" borderId="12" xfId="0" applyNumberFormat="1" applyFont="1" applyBorder="1" applyAlignment="1">
      <alignment horizontal="center" vertical="center" shrinkToFit="1"/>
    </xf>
    <xf numFmtId="0" fontId="10" fillId="0" borderId="12" xfId="0" applyFont="1" applyBorder="1" applyAlignment="1">
      <alignment horizontal="center" vertical="center" shrinkToFit="1"/>
    </xf>
    <xf numFmtId="0" fontId="19" fillId="0" borderId="0" xfId="0" applyFont="1" applyAlignment="1">
      <alignment horizontal="center" vertical="center"/>
    </xf>
    <xf numFmtId="0" fontId="46" fillId="0" borderId="60" xfId="0" applyFont="1" applyBorder="1" applyAlignment="1">
      <alignment horizontal="center" vertical="center"/>
    </xf>
    <xf numFmtId="0" fontId="46" fillId="0" borderId="94" xfId="0" applyFont="1" applyBorder="1" applyAlignment="1">
      <alignment horizontal="center" vertical="center"/>
    </xf>
    <xf numFmtId="0" fontId="15" fillId="0" borderId="0" xfId="0" applyFont="1" applyAlignment="1">
      <alignment horizontal="center"/>
    </xf>
    <xf numFmtId="0" fontId="7" fillId="0" borderId="0" xfId="0" applyFont="1" applyAlignment="1">
      <alignment horizontal="center"/>
    </xf>
    <xf numFmtId="0" fontId="18" fillId="0" borderId="89" xfId="0" applyFont="1" applyBorder="1" applyAlignment="1">
      <alignment horizontal="center" vertical="center"/>
    </xf>
    <xf numFmtId="14" fontId="10" fillId="0" borderId="0" xfId="0" applyNumberFormat="1" applyFont="1" applyAlignment="1">
      <alignment horizontal="center" vertical="center" shrinkToFit="1"/>
    </xf>
    <xf numFmtId="0" fontId="10" fillId="0" borderId="0" xfId="0" applyFont="1" applyAlignment="1">
      <alignment horizontal="center" vertical="center" shrinkToFit="1"/>
    </xf>
    <xf numFmtId="0" fontId="10" fillId="0" borderId="0" xfId="0" applyFont="1" applyAlignment="1">
      <alignment horizontal="center" shrinkToFit="1"/>
    </xf>
    <xf numFmtId="56" fontId="10" fillId="25" borderId="12" xfId="0" applyNumberFormat="1" applyFont="1" applyFill="1" applyBorder="1" applyAlignment="1">
      <alignment horizontal="center" vertical="center" shrinkToFit="1"/>
    </xf>
    <xf numFmtId="0" fontId="10" fillId="25" borderId="12" xfId="0" applyFont="1" applyFill="1" applyBorder="1" applyAlignment="1">
      <alignment horizontal="center" vertical="center" shrinkToFit="1"/>
    </xf>
    <xf numFmtId="0" fontId="55" fillId="24" borderId="34" xfId="0" applyFont="1" applyFill="1" applyBorder="1" applyAlignment="1">
      <alignment horizontal="right" vertical="top"/>
    </xf>
    <xf numFmtId="0" fontId="0" fillId="0" borderId="42" xfId="0" applyBorder="1" applyAlignment="1">
      <alignment horizontal="center" vertical="center" wrapText="1"/>
    </xf>
    <xf numFmtId="0" fontId="0" fillId="0" borderId="132" xfId="0" applyBorder="1" applyAlignment="1">
      <alignment horizontal="center" vertical="center" wrapText="1"/>
    </xf>
    <xf numFmtId="0" fontId="14" fillId="0" borderId="127" xfId="0" applyFont="1" applyBorder="1" applyAlignment="1">
      <alignment horizontal="center"/>
    </xf>
    <xf numFmtId="0" fontId="14" fillId="0" borderId="128" xfId="0" applyFont="1" applyBorder="1" applyAlignment="1">
      <alignment horizontal="center"/>
    </xf>
    <xf numFmtId="0" fontId="77" fillId="0" borderId="146" xfId="49" applyFont="1" applyBorder="1" applyAlignment="1">
      <alignment horizontal="center" vertical="center" wrapText="1" shrinkToFit="1"/>
    </xf>
    <xf numFmtId="0" fontId="76" fillId="0" borderId="0" xfId="49" applyAlignment="1">
      <alignment wrapText="1"/>
    </xf>
    <xf numFmtId="182" fontId="72" fillId="33" borderId="165" xfId="0" applyNumberFormat="1" applyFont="1" applyFill="1" applyBorder="1" applyAlignment="1">
      <alignment horizontal="right" vertical="center"/>
    </xf>
  </cellXfs>
  <cellStyles count="50">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46" builtinId="6"/>
    <cellStyle name="見出し 1 2" xfId="33" xr:uid="{00000000-0005-0000-0000-000021000000}"/>
    <cellStyle name="見出し 2 2" xfId="34" xr:uid="{00000000-0005-0000-0000-000022000000}"/>
    <cellStyle name="見出し 3 2" xfId="35" xr:uid="{00000000-0005-0000-0000-000023000000}"/>
    <cellStyle name="見出し 4 2" xfId="36" xr:uid="{00000000-0005-0000-0000-000024000000}"/>
    <cellStyle name="集計 2" xfId="37" xr:uid="{00000000-0005-0000-0000-000025000000}"/>
    <cellStyle name="出力 2" xfId="38" xr:uid="{00000000-0005-0000-0000-000026000000}"/>
    <cellStyle name="説明文 2" xfId="39" xr:uid="{00000000-0005-0000-0000-000027000000}"/>
    <cellStyle name="入力 2" xfId="40" xr:uid="{00000000-0005-0000-0000-000028000000}"/>
    <cellStyle name="標準" xfId="0" builtinId="0"/>
    <cellStyle name="標準 2" xfId="41" xr:uid="{00000000-0005-0000-0000-00002A000000}"/>
    <cellStyle name="標準 3" xfId="42" xr:uid="{00000000-0005-0000-0000-00002B000000}"/>
    <cellStyle name="標準 4" xfId="43" xr:uid="{00000000-0005-0000-0000-00002C000000}"/>
    <cellStyle name="標準 5" xfId="47" xr:uid="{00000000-0005-0000-0000-00002D000000}"/>
    <cellStyle name="標準 6" xfId="48" xr:uid="{00000000-0005-0000-0000-00002E000000}"/>
    <cellStyle name="標準 7" xfId="49" xr:uid="{D211A8D0-B647-483F-9B0E-C24AD5309ADE}"/>
    <cellStyle name="未定義" xfId="44" xr:uid="{00000000-0005-0000-0000-00002F000000}"/>
    <cellStyle name="良い 2" xfId="45" xr:uid="{00000000-0005-0000-0000-000030000000}"/>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269875</xdr:colOff>
      <xdr:row>40</xdr:row>
      <xdr:rowOff>41275</xdr:rowOff>
    </xdr:from>
    <xdr:to>
      <xdr:col>3</xdr:col>
      <xdr:colOff>851513</xdr:colOff>
      <xdr:row>41</xdr:row>
      <xdr:rowOff>130507</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152525" y="6753225"/>
          <a:ext cx="581025" cy="276225"/>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賞　品</a:t>
          </a:r>
        </a:p>
      </xdr:txBody>
    </xdr:sp>
    <xdr:clientData/>
  </xdr:twoCellAnchor>
  <xdr:twoCellAnchor>
    <xdr:from>
      <xdr:col>14</xdr:col>
      <xdr:colOff>0</xdr:colOff>
      <xdr:row>11</xdr:row>
      <xdr:rowOff>0</xdr:rowOff>
    </xdr:from>
    <xdr:to>
      <xdr:col>14</xdr:col>
      <xdr:colOff>0</xdr:colOff>
      <xdr:row>12</xdr:row>
      <xdr:rowOff>0</xdr:rowOff>
    </xdr:to>
    <xdr:sp macro="" textlink="">
      <xdr:nvSpPr>
        <xdr:cNvPr id="3" name="テキスト 204">
          <a:extLst>
            <a:ext uri="{FF2B5EF4-FFF2-40B4-BE49-F238E27FC236}">
              <a16:creationId xmlns:a16="http://schemas.microsoft.com/office/drawing/2014/main" id="{00000000-0008-0000-0700-000003000000}"/>
            </a:ext>
          </a:extLst>
        </xdr:cNvPr>
        <xdr:cNvSpPr txBox="1">
          <a:spLocks noChangeArrowheads="1"/>
        </xdr:cNvSpPr>
      </xdr:nvSpPr>
      <xdr:spPr bwMode="auto">
        <a:xfrm>
          <a:off x="6705600" y="2362200"/>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①</a:t>
          </a:r>
        </a:p>
        <a:p>
          <a:pPr algn="l" rtl="0">
            <a:defRPr sz="1000"/>
          </a:pPr>
          <a:endPar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14</xdr:col>
      <xdr:colOff>0</xdr:colOff>
      <xdr:row>15</xdr:row>
      <xdr:rowOff>0</xdr:rowOff>
    </xdr:from>
    <xdr:to>
      <xdr:col>14</xdr:col>
      <xdr:colOff>0</xdr:colOff>
      <xdr:row>16</xdr:row>
      <xdr:rowOff>0</xdr:rowOff>
    </xdr:to>
    <xdr:sp macro="" textlink="">
      <xdr:nvSpPr>
        <xdr:cNvPr id="4" name="テキスト 204">
          <a:extLst>
            <a:ext uri="{FF2B5EF4-FFF2-40B4-BE49-F238E27FC236}">
              <a16:creationId xmlns:a16="http://schemas.microsoft.com/office/drawing/2014/main" id="{00000000-0008-0000-0700-000004000000}"/>
            </a:ext>
          </a:extLst>
        </xdr:cNvPr>
        <xdr:cNvSpPr txBox="1">
          <a:spLocks noChangeArrowheads="1"/>
        </xdr:cNvSpPr>
      </xdr:nvSpPr>
      <xdr:spPr bwMode="auto">
        <a:xfrm>
          <a:off x="6705600" y="3086100"/>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①</a:t>
          </a:r>
        </a:p>
        <a:p>
          <a:pPr algn="l" rtl="0">
            <a:defRPr sz="1000"/>
          </a:pPr>
          <a:endPar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14</xdr:col>
      <xdr:colOff>0</xdr:colOff>
      <xdr:row>22</xdr:row>
      <xdr:rowOff>6350</xdr:rowOff>
    </xdr:from>
    <xdr:to>
      <xdr:col>14</xdr:col>
      <xdr:colOff>0</xdr:colOff>
      <xdr:row>23</xdr:row>
      <xdr:rowOff>3113</xdr:rowOff>
    </xdr:to>
    <xdr:sp macro="" textlink="">
      <xdr:nvSpPr>
        <xdr:cNvPr id="7" name="テキスト 204">
          <a:extLst>
            <a:ext uri="{FF2B5EF4-FFF2-40B4-BE49-F238E27FC236}">
              <a16:creationId xmlns:a16="http://schemas.microsoft.com/office/drawing/2014/main" id="{00000000-0008-0000-0700-000007000000}"/>
            </a:ext>
          </a:extLst>
        </xdr:cNvPr>
        <xdr:cNvSpPr txBox="1">
          <a:spLocks noChangeArrowheads="1"/>
        </xdr:cNvSpPr>
      </xdr:nvSpPr>
      <xdr:spPr bwMode="auto">
        <a:xfrm>
          <a:off x="6705600" y="4362450"/>
          <a:ext cx="0" cy="17145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endParaRPr>
        </a:p>
        <a:p>
          <a:pPr algn="l" rtl="0">
            <a:defRPr sz="1000"/>
          </a:pPr>
          <a:endPar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endParaRPr>
        </a:p>
        <a:p>
          <a:pPr algn="l" rtl="0">
            <a:defRPr sz="1000"/>
          </a:pPr>
          <a:r>
            <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rPr>
            <a:t>B</a:t>
          </a:r>
        </a:p>
        <a:p>
          <a:pPr algn="l" rtl="0">
            <a:defRPr sz="1000"/>
          </a:pPr>
          <a:r>
            <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rPr>
            <a:t>B</a:t>
          </a:r>
        </a:p>
      </xdr:txBody>
    </xdr:sp>
    <xdr:clientData/>
  </xdr:twoCellAnchor>
  <xdr:twoCellAnchor>
    <xdr:from>
      <xdr:col>4</xdr:col>
      <xdr:colOff>120650</xdr:colOff>
      <xdr:row>38</xdr:row>
      <xdr:rowOff>158750</xdr:rowOff>
    </xdr:from>
    <xdr:to>
      <xdr:col>4</xdr:col>
      <xdr:colOff>266351</xdr:colOff>
      <xdr:row>39</xdr:row>
      <xdr:rowOff>153459</xdr:rowOff>
    </xdr:to>
    <xdr:sp macro="" textlink="">
      <xdr:nvSpPr>
        <xdr:cNvPr id="23" name="テキスト 204">
          <a:extLst>
            <a:ext uri="{FF2B5EF4-FFF2-40B4-BE49-F238E27FC236}">
              <a16:creationId xmlns:a16="http://schemas.microsoft.com/office/drawing/2014/main" id="{00000000-0008-0000-0700-000017000000}"/>
            </a:ext>
          </a:extLst>
        </xdr:cNvPr>
        <xdr:cNvSpPr txBox="1">
          <a:spLocks noChangeArrowheads="1"/>
        </xdr:cNvSpPr>
      </xdr:nvSpPr>
      <xdr:spPr bwMode="auto">
        <a:xfrm>
          <a:off x="2273300" y="7372350"/>
          <a:ext cx="145701"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C</a:t>
          </a:r>
        </a:p>
      </xdr:txBody>
    </xdr:sp>
    <xdr:clientData/>
  </xdr:twoCellAnchor>
  <xdr:twoCellAnchor>
    <xdr:from>
      <xdr:col>6</xdr:col>
      <xdr:colOff>182656</xdr:colOff>
      <xdr:row>37</xdr:row>
      <xdr:rowOff>163232</xdr:rowOff>
    </xdr:from>
    <xdr:to>
      <xdr:col>6</xdr:col>
      <xdr:colOff>328357</xdr:colOff>
      <xdr:row>38</xdr:row>
      <xdr:rowOff>156447</xdr:rowOff>
    </xdr:to>
    <xdr:sp macro="" textlink="">
      <xdr:nvSpPr>
        <xdr:cNvPr id="5" name="テキスト 204">
          <a:extLst>
            <a:ext uri="{FF2B5EF4-FFF2-40B4-BE49-F238E27FC236}">
              <a16:creationId xmlns:a16="http://schemas.microsoft.com/office/drawing/2014/main" id="{95A0FE10-94B7-CC95-B327-CC3538FBFA45}"/>
            </a:ext>
          </a:extLst>
        </xdr:cNvPr>
        <xdr:cNvSpPr txBox="1">
          <a:spLocks noChangeArrowheads="1"/>
        </xdr:cNvSpPr>
      </xdr:nvSpPr>
      <xdr:spPr bwMode="auto">
        <a:xfrm>
          <a:off x="3440206" y="7199032"/>
          <a:ext cx="145701" cy="17101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B	</a:t>
          </a:r>
        </a:p>
      </xdr:txBody>
    </xdr:sp>
    <xdr:clientData/>
  </xdr:twoCellAnchor>
  <xdr:twoCellAnchor editAs="oneCell">
    <xdr:from>
      <xdr:col>7</xdr:col>
      <xdr:colOff>57150</xdr:colOff>
      <xdr:row>37</xdr:row>
      <xdr:rowOff>165100</xdr:rowOff>
    </xdr:from>
    <xdr:to>
      <xdr:col>7</xdr:col>
      <xdr:colOff>325397</xdr:colOff>
      <xdr:row>38</xdr:row>
      <xdr:rowOff>164098</xdr:rowOff>
    </xdr:to>
    <xdr:pic>
      <xdr:nvPicPr>
        <xdr:cNvPr id="6" name="図 5">
          <a:extLst>
            <a:ext uri="{FF2B5EF4-FFF2-40B4-BE49-F238E27FC236}">
              <a16:creationId xmlns:a16="http://schemas.microsoft.com/office/drawing/2014/main" id="{BA5FE3AA-6FB2-0A94-1E83-CFF721351210}"/>
            </a:ext>
          </a:extLst>
        </xdr:cNvPr>
        <xdr:cNvPicPr>
          <a:picLocks noChangeAspect="1"/>
        </xdr:cNvPicPr>
      </xdr:nvPicPr>
      <xdr:blipFill>
        <a:blip xmlns:r="http://schemas.openxmlformats.org/officeDocument/2006/relationships" r:embed="rId1"/>
        <a:stretch>
          <a:fillRect/>
        </a:stretch>
      </xdr:blipFill>
      <xdr:spPr>
        <a:xfrm>
          <a:off x="3867150" y="7200900"/>
          <a:ext cx="268247" cy="176799"/>
        </a:xfrm>
        <a:prstGeom prst="rect">
          <a:avLst/>
        </a:prstGeom>
      </xdr:spPr>
    </xdr:pic>
    <xdr:clientData/>
  </xdr:twoCellAnchor>
  <xdr:twoCellAnchor editAs="oneCell">
    <xdr:from>
      <xdr:col>8</xdr:col>
      <xdr:colOff>0</xdr:colOff>
      <xdr:row>38</xdr:row>
      <xdr:rowOff>0</xdr:rowOff>
    </xdr:from>
    <xdr:to>
      <xdr:col>8</xdr:col>
      <xdr:colOff>268247</xdr:colOff>
      <xdr:row>39</xdr:row>
      <xdr:rowOff>3618</xdr:rowOff>
    </xdr:to>
    <xdr:pic>
      <xdr:nvPicPr>
        <xdr:cNvPr id="8" name="図 7">
          <a:extLst>
            <a:ext uri="{FF2B5EF4-FFF2-40B4-BE49-F238E27FC236}">
              <a16:creationId xmlns:a16="http://schemas.microsoft.com/office/drawing/2014/main" id="{7CDD5A22-52BF-4400-9DAB-C5B391E28593}"/>
            </a:ext>
          </a:extLst>
        </xdr:cNvPr>
        <xdr:cNvPicPr>
          <a:picLocks noChangeAspect="1"/>
        </xdr:cNvPicPr>
      </xdr:nvPicPr>
      <xdr:blipFill>
        <a:blip xmlns:r="http://schemas.openxmlformats.org/officeDocument/2006/relationships" r:embed="rId1"/>
        <a:stretch>
          <a:fillRect/>
        </a:stretch>
      </xdr:blipFill>
      <xdr:spPr>
        <a:xfrm>
          <a:off x="4362450" y="7213600"/>
          <a:ext cx="268247" cy="176799"/>
        </a:xfrm>
        <a:prstGeom prst="rect">
          <a:avLst/>
        </a:prstGeom>
      </xdr:spPr>
    </xdr:pic>
    <xdr:clientData/>
  </xdr:twoCellAnchor>
  <xdr:twoCellAnchor editAs="oneCell">
    <xdr:from>
      <xdr:col>10</xdr:col>
      <xdr:colOff>0</xdr:colOff>
      <xdr:row>38</xdr:row>
      <xdr:rowOff>0</xdr:rowOff>
    </xdr:from>
    <xdr:to>
      <xdr:col>10</xdr:col>
      <xdr:colOff>268247</xdr:colOff>
      <xdr:row>39</xdr:row>
      <xdr:rowOff>3618</xdr:rowOff>
    </xdr:to>
    <xdr:pic>
      <xdr:nvPicPr>
        <xdr:cNvPr id="9" name="図 8">
          <a:extLst>
            <a:ext uri="{FF2B5EF4-FFF2-40B4-BE49-F238E27FC236}">
              <a16:creationId xmlns:a16="http://schemas.microsoft.com/office/drawing/2014/main" id="{F4B1675C-C4F1-40A1-BD44-84F6F5C3813E}"/>
            </a:ext>
          </a:extLst>
        </xdr:cNvPr>
        <xdr:cNvPicPr>
          <a:picLocks noChangeAspect="1"/>
        </xdr:cNvPicPr>
      </xdr:nvPicPr>
      <xdr:blipFill>
        <a:blip xmlns:r="http://schemas.openxmlformats.org/officeDocument/2006/relationships" r:embed="rId1"/>
        <a:stretch>
          <a:fillRect/>
        </a:stretch>
      </xdr:blipFill>
      <xdr:spPr>
        <a:xfrm>
          <a:off x="5467350" y="7213600"/>
          <a:ext cx="268247" cy="176799"/>
        </a:xfrm>
        <a:prstGeom prst="rect">
          <a:avLst/>
        </a:prstGeom>
      </xdr:spPr>
    </xdr:pic>
    <xdr:clientData/>
  </xdr:twoCellAnchor>
  <xdr:twoCellAnchor editAs="oneCell">
    <xdr:from>
      <xdr:col>9</xdr:col>
      <xdr:colOff>127000</xdr:colOff>
      <xdr:row>37</xdr:row>
      <xdr:rowOff>146050</xdr:rowOff>
    </xdr:from>
    <xdr:to>
      <xdr:col>9</xdr:col>
      <xdr:colOff>395247</xdr:colOff>
      <xdr:row>38</xdr:row>
      <xdr:rowOff>145048</xdr:rowOff>
    </xdr:to>
    <xdr:pic>
      <xdr:nvPicPr>
        <xdr:cNvPr id="10" name="図 9">
          <a:extLst>
            <a:ext uri="{FF2B5EF4-FFF2-40B4-BE49-F238E27FC236}">
              <a16:creationId xmlns:a16="http://schemas.microsoft.com/office/drawing/2014/main" id="{9041237F-6F63-476C-8E9D-FC5184492100}"/>
            </a:ext>
          </a:extLst>
        </xdr:cNvPr>
        <xdr:cNvPicPr>
          <a:picLocks noChangeAspect="1"/>
        </xdr:cNvPicPr>
      </xdr:nvPicPr>
      <xdr:blipFill>
        <a:blip xmlns:r="http://schemas.openxmlformats.org/officeDocument/2006/relationships" r:embed="rId1"/>
        <a:stretch>
          <a:fillRect/>
        </a:stretch>
      </xdr:blipFill>
      <xdr:spPr>
        <a:xfrm>
          <a:off x="5041900" y="7181850"/>
          <a:ext cx="268247" cy="176799"/>
        </a:xfrm>
        <a:prstGeom prst="rect">
          <a:avLst/>
        </a:prstGeom>
      </xdr:spPr>
    </xdr:pic>
    <xdr:clientData/>
  </xdr:twoCellAnchor>
  <xdr:twoCellAnchor editAs="oneCell">
    <xdr:from>
      <xdr:col>5</xdr:col>
      <xdr:colOff>171450</xdr:colOff>
      <xdr:row>38</xdr:row>
      <xdr:rowOff>6350</xdr:rowOff>
    </xdr:from>
    <xdr:to>
      <xdr:col>5</xdr:col>
      <xdr:colOff>439697</xdr:colOff>
      <xdr:row>39</xdr:row>
      <xdr:rowOff>5349</xdr:rowOff>
    </xdr:to>
    <xdr:pic>
      <xdr:nvPicPr>
        <xdr:cNvPr id="11" name="図 10">
          <a:extLst>
            <a:ext uri="{FF2B5EF4-FFF2-40B4-BE49-F238E27FC236}">
              <a16:creationId xmlns:a16="http://schemas.microsoft.com/office/drawing/2014/main" id="{58E9FFE3-40A1-4CD5-8A0F-FDEEC8AB5DFA}"/>
            </a:ext>
          </a:extLst>
        </xdr:cNvPr>
        <xdr:cNvPicPr>
          <a:picLocks noChangeAspect="1"/>
        </xdr:cNvPicPr>
      </xdr:nvPicPr>
      <xdr:blipFill>
        <a:blip xmlns:r="http://schemas.openxmlformats.org/officeDocument/2006/relationships" r:embed="rId1"/>
        <a:stretch>
          <a:fillRect/>
        </a:stretch>
      </xdr:blipFill>
      <xdr:spPr>
        <a:xfrm>
          <a:off x="2876550" y="7219950"/>
          <a:ext cx="268247" cy="176799"/>
        </a:xfrm>
        <a:prstGeom prst="rect">
          <a:avLst/>
        </a:prstGeom>
      </xdr:spPr>
    </xdr:pic>
    <xdr:clientData/>
  </xdr:twoCellAnchor>
  <xdr:twoCellAnchor editAs="oneCell">
    <xdr:from>
      <xdr:col>3</xdr:col>
      <xdr:colOff>1124857</xdr:colOff>
      <xdr:row>12</xdr:row>
      <xdr:rowOff>181426</xdr:rowOff>
    </xdr:from>
    <xdr:to>
      <xdr:col>4</xdr:col>
      <xdr:colOff>259175</xdr:colOff>
      <xdr:row>13</xdr:row>
      <xdr:rowOff>180426</xdr:rowOff>
    </xdr:to>
    <xdr:pic>
      <xdr:nvPicPr>
        <xdr:cNvPr id="12" name="図 11">
          <a:extLst>
            <a:ext uri="{FF2B5EF4-FFF2-40B4-BE49-F238E27FC236}">
              <a16:creationId xmlns:a16="http://schemas.microsoft.com/office/drawing/2014/main" id="{79E5C4F1-EEDA-49CC-A814-06DFF3E55EB1}"/>
            </a:ext>
          </a:extLst>
        </xdr:cNvPr>
        <xdr:cNvPicPr>
          <a:picLocks noChangeAspect="1"/>
        </xdr:cNvPicPr>
      </xdr:nvPicPr>
      <xdr:blipFill>
        <a:blip xmlns:r="http://schemas.openxmlformats.org/officeDocument/2006/relationships" r:embed="rId1"/>
        <a:stretch>
          <a:fillRect/>
        </a:stretch>
      </xdr:blipFill>
      <xdr:spPr>
        <a:xfrm>
          <a:off x="2140857" y="2694212"/>
          <a:ext cx="268247" cy="1804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263525</xdr:colOff>
      <xdr:row>21</xdr:row>
      <xdr:rowOff>0</xdr:rowOff>
    </xdr:from>
    <xdr:to>
      <xdr:col>3</xdr:col>
      <xdr:colOff>371</xdr:colOff>
      <xdr:row>21</xdr:row>
      <xdr:rowOff>0</xdr:rowOff>
    </xdr:to>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914400" y="5638800"/>
          <a:ext cx="361950" cy="0"/>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ＭＳ 明朝"/>
              <a:ea typeface="ＭＳ 明朝"/>
            </a:rPr>
            <a:t>賞　品</a:t>
          </a:r>
        </a:p>
      </xdr:txBody>
    </xdr:sp>
    <xdr:clientData/>
  </xdr:twoCellAnchor>
  <xdr:twoCellAnchor>
    <xdr:from>
      <xdr:col>12</xdr:col>
      <xdr:colOff>0</xdr:colOff>
      <xdr:row>5</xdr:row>
      <xdr:rowOff>0</xdr:rowOff>
    </xdr:from>
    <xdr:to>
      <xdr:col>12</xdr:col>
      <xdr:colOff>0</xdr:colOff>
      <xdr:row>6</xdr:row>
      <xdr:rowOff>28575</xdr:rowOff>
    </xdr:to>
    <xdr:sp macro="" textlink="">
      <xdr:nvSpPr>
        <xdr:cNvPr id="3" name="テキスト 204">
          <a:extLst>
            <a:ext uri="{FF2B5EF4-FFF2-40B4-BE49-F238E27FC236}">
              <a16:creationId xmlns:a16="http://schemas.microsoft.com/office/drawing/2014/main" id="{00000000-0008-0000-0800-000003000000}"/>
            </a:ext>
          </a:extLst>
        </xdr:cNvPr>
        <xdr:cNvSpPr txBox="1">
          <a:spLocks noChangeArrowheads="1"/>
        </xdr:cNvSpPr>
      </xdr:nvSpPr>
      <xdr:spPr bwMode="auto">
        <a:xfrm>
          <a:off x="7019925" y="1552575"/>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7</xdr:row>
      <xdr:rowOff>0</xdr:rowOff>
    </xdr:from>
    <xdr:to>
      <xdr:col>12</xdr:col>
      <xdr:colOff>0</xdr:colOff>
      <xdr:row>8</xdr:row>
      <xdr:rowOff>0</xdr:rowOff>
    </xdr:to>
    <xdr:sp macro="" textlink="">
      <xdr:nvSpPr>
        <xdr:cNvPr id="4" name="テキスト 204">
          <a:extLst>
            <a:ext uri="{FF2B5EF4-FFF2-40B4-BE49-F238E27FC236}">
              <a16:creationId xmlns:a16="http://schemas.microsoft.com/office/drawing/2014/main" id="{00000000-0008-0000-0800-000004000000}"/>
            </a:ext>
          </a:extLst>
        </xdr:cNvPr>
        <xdr:cNvSpPr txBox="1">
          <a:spLocks noChangeArrowheads="1"/>
        </xdr:cNvSpPr>
      </xdr:nvSpPr>
      <xdr:spPr bwMode="auto">
        <a:xfrm>
          <a:off x="7019925" y="20478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5" name="テキスト 204">
          <a:extLst>
            <a:ext uri="{FF2B5EF4-FFF2-40B4-BE49-F238E27FC236}">
              <a16:creationId xmlns:a16="http://schemas.microsoft.com/office/drawing/2014/main" id="{00000000-0008-0000-0800-000005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6" name="テキスト 204">
          <a:extLst>
            <a:ext uri="{FF2B5EF4-FFF2-40B4-BE49-F238E27FC236}">
              <a16:creationId xmlns:a16="http://schemas.microsoft.com/office/drawing/2014/main" id="{00000000-0008-0000-0800-000006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9</xdr:row>
      <xdr:rowOff>0</xdr:rowOff>
    </xdr:from>
    <xdr:to>
      <xdr:col>12</xdr:col>
      <xdr:colOff>0</xdr:colOff>
      <xdr:row>10</xdr:row>
      <xdr:rowOff>0</xdr:rowOff>
    </xdr:to>
    <xdr:sp macro="" textlink="">
      <xdr:nvSpPr>
        <xdr:cNvPr id="7" name="テキスト 204">
          <a:extLst>
            <a:ext uri="{FF2B5EF4-FFF2-40B4-BE49-F238E27FC236}">
              <a16:creationId xmlns:a16="http://schemas.microsoft.com/office/drawing/2014/main" id="{00000000-0008-0000-0800-000007000000}"/>
            </a:ext>
          </a:extLst>
        </xdr:cNvPr>
        <xdr:cNvSpPr txBox="1">
          <a:spLocks noChangeArrowheads="1"/>
        </xdr:cNvSpPr>
      </xdr:nvSpPr>
      <xdr:spPr bwMode="auto">
        <a:xfrm>
          <a:off x="7019925" y="25050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8" name="テキスト 204">
          <a:extLst>
            <a:ext uri="{FF2B5EF4-FFF2-40B4-BE49-F238E27FC236}">
              <a16:creationId xmlns:a16="http://schemas.microsoft.com/office/drawing/2014/main" id="{00000000-0008-0000-0800-000008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155575</xdr:rowOff>
    </xdr:from>
    <xdr:to>
      <xdr:col>12</xdr:col>
      <xdr:colOff>0</xdr:colOff>
      <xdr:row>7</xdr:row>
      <xdr:rowOff>19108</xdr:rowOff>
    </xdr:to>
    <xdr:sp macro="" textlink="">
      <xdr:nvSpPr>
        <xdr:cNvPr id="9" name="テキスト 204">
          <a:extLst>
            <a:ext uri="{FF2B5EF4-FFF2-40B4-BE49-F238E27FC236}">
              <a16:creationId xmlns:a16="http://schemas.microsoft.com/office/drawing/2014/main" id="{00000000-0008-0000-0800-000009000000}"/>
            </a:ext>
          </a:extLst>
        </xdr:cNvPr>
        <xdr:cNvSpPr txBox="1">
          <a:spLocks noChangeArrowheads="1"/>
        </xdr:cNvSpPr>
      </xdr:nvSpPr>
      <xdr:spPr bwMode="auto">
        <a:xfrm>
          <a:off x="7019925" y="1714500"/>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4</xdr:col>
      <xdr:colOff>9525</xdr:colOff>
      <xdr:row>11</xdr:row>
      <xdr:rowOff>9525</xdr:rowOff>
    </xdr:from>
    <xdr:to>
      <xdr:col>4</xdr:col>
      <xdr:colOff>161925</xdr:colOff>
      <xdr:row>12</xdr:row>
      <xdr:rowOff>0</xdr:rowOff>
    </xdr:to>
    <xdr:sp macro="" textlink="">
      <xdr:nvSpPr>
        <xdr:cNvPr id="41062" name="テキスト 204">
          <a:extLst>
            <a:ext uri="{FF2B5EF4-FFF2-40B4-BE49-F238E27FC236}">
              <a16:creationId xmlns:a16="http://schemas.microsoft.com/office/drawing/2014/main" id="{00000000-0008-0000-0800-000066A00000}"/>
            </a:ext>
          </a:extLst>
        </xdr:cNvPr>
        <xdr:cNvSpPr txBox="1">
          <a:spLocks noChangeArrowheads="1"/>
        </xdr:cNvSpPr>
      </xdr:nvSpPr>
      <xdr:spPr bwMode="auto">
        <a:xfrm>
          <a:off x="2114550" y="2971800"/>
          <a:ext cx="1524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17</xdr:row>
      <xdr:rowOff>0</xdr:rowOff>
    </xdr:from>
    <xdr:to>
      <xdr:col>4</xdr:col>
      <xdr:colOff>152400</xdr:colOff>
      <xdr:row>17</xdr:row>
      <xdr:rowOff>0</xdr:rowOff>
    </xdr:to>
    <xdr:sp macro="" textlink="">
      <xdr:nvSpPr>
        <xdr:cNvPr id="41063" name="テキスト 204">
          <a:extLst>
            <a:ext uri="{FF2B5EF4-FFF2-40B4-BE49-F238E27FC236}">
              <a16:creationId xmlns:a16="http://schemas.microsoft.com/office/drawing/2014/main" id="{00000000-0008-0000-0800-000067A00000}"/>
            </a:ext>
          </a:extLst>
        </xdr:cNvPr>
        <xdr:cNvSpPr txBox="1">
          <a:spLocks noChangeArrowheads="1"/>
        </xdr:cNvSpPr>
      </xdr:nvSpPr>
      <xdr:spPr bwMode="auto">
        <a:xfrm>
          <a:off x="2105025" y="4333875"/>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19050</xdr:colOff>
      <xdr:row>17</xdr:row>
      <xdr:rowOff>0</xdr:rowOff>
    </xdr:from>
    <xdr:to>
      <xdr:col>8</xdr:col>
      <xdr:colOff>164751</xdr:colOff>
      <xdr:row>17</xdr:row>
      <xdr:rowOff>0</xdr:rowOff>
    </xdr:to>
    <xdr:sp macro="" textlink="">
      <xdr:nvSpPr>
        <xdr:cNvPr id="12" name="テキスト 204">
          <a:extLst>
            <a:ext uri="{FF2B5EF4-FFF2-40B4-BE49-F238E27FC236}">
              <a16:creationId xmlns:a16="http://schemas.microsoft.com/office/drawing/2014/main" id="{00000000-0008-0000-0800-00000C000000}"/>
            </a:ext>
          </a:extLst>
        </xdr:cNvPr>
        <xdr:cNvSpPr txBox="1">
          <a:spLocks noChangeArrowheads="1"/>
        </xdr:cNvSpPr>
      </xdr:nvSpPr>
      <xdr:spPr bwMode="auto">
        <a:xfrm>
          <a:off x="4486275" y="433387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明朝"/>
            <a:ea typeface="ＭＳ 明朝"/>
          </a:endParaRPr>
        </a:p>
        <a:p>
          <a:pPr algn="l" rtl="0">
            <a:defRPr sz="1000"/>
          </a:pPr>
          <a:endParaRPr lang="en-US" altLang="ja-JP"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B</a:t>
          </a:r>
        </a:p>
        <a:p>
          <a:pPr algn="l" rtl="0">
            <a:defRPr sz="1000"/>
          </a:pPr>
          <a:r>
            <a:rPr lang="en-US" altLang="ja-JP" sz="1100" b="0" i="0" u="none" strike="noStrike" baseline="0">
              <a:solidFill>
                <a:srgbClr val="000000"/>
              </a:solidFill>
              <a:latin typeface="ＭＳ 明朝"/>
              <a:ea typeface="ＭＳ 明朝"/>
            </a:rPr>
            <a:t>B</a:t>
          </a:r>
        </a:p>
      </xdr:txBody>
    </xdr:sp>
    <xdr:clientData/>
  </xdr:twoCellAnchor>
  <xdr:twoCellAnchor>
    <xdr:from>
      <xdr:col>12</xdr:col>
      <xdr:colOff>0</xdr:colOff>
      <xdr:row>17</xdr:row>
      <xdr:rowOff>0</xdr:rowOff>
    </xdr:from>
    <xdr:to>
      <xdr:col>12</xdr:col>
      <xdr:colOff>0</xdr:colOff>
      <xdr:row>17</xdr:row>
      <xdr:rowOff>0</xdr:rowOff>
    </xdr:to>
    <xdr:sp macro="" textlink="">
      <xdr:nvSpPr>
        <xdr:cNvPr id="13" name="テキスト 204">
          <a:extLst>
            <a:ext uri="{FF2B5EF4-FFF2-40B4-BE49-F238E27FC236}">
              <a16:creationId xmlns:a16="http://schemas.microsoft.com/office/drawing/2014/main" id="{00000000-0008-0000-0800-00000D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明朝"/>
            <a:ea typeface="ＭＳ 明朝"/>
          </a:endParaRPr>
        </a:p>
        <a:p>
          <a:pPr algn="l" rtl="0">
            <a:defRPr sz="1000"/>
          </a:pPr>
          <a:endParaRPr lang="en-US" altLang="ja-JP"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B</a:t>
          </a:r>
        </a:p>
        <a:p>
          <a:pPr algn="l" rtl="0">
            <a:defRPr sz="1000"/>
          </a:pPr>
          <a:r>
            <a:rPr lang="en-US" altLang="ja-JP" sz="1100" b="0" i="0" u="none" strike="noStrike" baseline="0">
              <a:solidFill>
                <a:srgbClr val="000000"/>
              </a:solidFill>
              <a:latin typeface="ＭＳ 明朝"/>
              <a:ea typeface="ＭＳ 明朝"/>
            </a:rPr>
            <a:t>B</a:t>
          </a:r>
        </a:p>
      </xdr:txBody>
    </xdr:sp>
    <xdr:clientData/>
  </xdr:twoCellAnchor>
  <xdr:twoCellAnchor>
    <xdr:from>
      <xdr:col>2</xdr:col>
      <xdr:colOff>0</xdr:colOff>
      <xdr:row>32</xdr:row>
      <xdr:rowOff>0</xdr:rowOff>
    </xdr:from>
    <xdr:to>
      <xdr:col>2</xdr:col>
      <xdr:colOff>0</xdr:colOff>
      <xdr:row>32</xdr:row>
      <xdr:rowOff>0</xdr:rowOff>
    </xdr:to>
    <xdr:sp macro="" textlink="">
      <xdr:nvSpPr>
        <xdr:cNvPr id="19" name="テキスト 204">
          <a:extLst>
            <a:ext uri="{FF2B5EF4-FFF2-40B4-BE49-F238E27FC236}">
              <a16:creationId xmlns:a16="http://schemas.microsoft.com/office/drawing/2014/main" id="{00000000-0008-0000-0800-000013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0" name="テキスト 204">
          <a:extLst>
            <a:ext uri="{FF2B5EF4-FFF2-40B4-BE49-F238E27FC236}">
              <a16:creationId xmlns:a16="http://schemas.microsoft.com/office/drawing/2014/main" id="{00000000-0008-0000-0800-000014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1" name="テキスト 204">
          <a:extLst>
            <a:ext uri="{FF2B5EF4-FFF2-40B4-BE49-F238E27FC236}">
              <a16:creationId xmlns:a16="http://schemas.microsoft.com/office/drawing/2014/main" id="{00000000-0008-0000-0800-000015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2" name="テキスト 204">
          <a:extLst>
            <a:ext uri="{FF2B5EF4-FFF2-40B4-BE49-F238E27FC236}">
              <a16:creationId xmlns:a16="http://schemas.microsoft.com/office/drawing/2014/main" id="{00000000-0008-0000-0800-000016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0</xdr:rowOff>
    </xdr:from>
    <xdr:to>
      <xdr:col>10</xdr:col>
      <xdr:colOff>0</xdr:colOff>
      <xdr:row>21</xdr:row>
      <xdr:rowOff>28575</xdr:rowOff>
    </xdr:to>
    <xdr:sp macro="" textlink="">
      <xdr:nvSpPr>
        <xdr:cNvPr id="23" name="テキスト 204">
          <a:extLst>
            <a:ext uri="{FF2B5EF4-FFF2-40B4-BE49-F238E27FC236}">
              <a16:creationId xmlns:a16="http://schemas.microsoft.com/office/drawing/2014/main" id="{00000000-0008-0000-0800-000017000000}"/>
            </a:ext>
          </a:extLst>
        </xdr:cNvPr>
        <xdr:cNvSpPr txBox="1">
          <a:spLocks noChangeArrowheads="1"/>
        </xdr:cNvSpPr>
      </xdr:nvSpPr>
      <xdr:spPr bwMode="auto">
        <a:xfrm>
          <a:off x="574357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22</xdr:row>
      <xdr:rowOff>0</xdr:rowOff>
    </xdr:from>
    <xdr:to>
      <xdr:col>10</xdr:col>
      <xdr:colOff>0</xdr:colOff>
      <xdr:row>23</xdr:row>
      <xdr:rowOff>0</xdr:rowOff>
    </xdr:to>
    <xdr:sp macro="" textlink="">
      <xdr:nvSpPr>
        <xdr:cNvPr id="24" name="テキスト 204">
          <a:extLst>
            <a:ext uri="{FF2B5EF4-FFF2-40B4-BE49-F238E27FC236}">
              <a16:creationId xmlns:a16="http://schemas.microsoft.com/office/drawing/2014/main" id="{00000000-0008-0000-0800-000018000000}"/>
            </a:ext>
          </a:extLst>
        </xdr:cNvPr>
        <xdr:cNvSpPr txBox="1">
          <a:spLocks noChangeArrowheads="1"/>
        </xdr:cNvSpPr>
      </xdr:nvSpPr>
      <xdr:spPr bwMode="auto">
        <a:xfrm>
          <a:off x="5743575" y="58674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24</xdr:row>
      <xdr:rowOff>0</xdr:rowOff>
    </xdr:from>
    <xdr:to>
      <xdr:col>10</xdr:col>
      <xdr:colOff>0</xdr:colOff>
      <xdr:row>25</xdr:row>
      <xdr:rowOff>0</xdr:rowOff>
    </xdr:to>
    <xdr:sp macro="" textlink="">
      <xdr:nvSpPr>
        <xdr:cNvPr id="25" name="テキスト 204">
          <a:extLst>
            <a:ext uri="{FF2B5EF4-FFF2-40B4-BE49-F238E27FC236}">
              <a16:creationId xmlns:a16="http://schemas.microsoft.com/office/drawing/2014/main" id="{00000000-0008-0000-0800-000019000000}"/>
            </a:ext>
          </a:extLst>
        </xdr:cNvPr>
        <xdr:cNvSpPr txBox="1">
          <a:spLocks noChangeArrowheads="1"/>
        </xdr:cNvSpPr>
      </xdr:nvSpPr>
      <xdr:spPr bwMode="auto">
        <a:xfrm>
          <a:off x="5743575" y="63246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155575</xdr:rowOff>
    </xdr:from>
    <xdr:to>
      <xdr:col>10</xdr:col>
      <xdr:colOff>0</xdr:colOff>
      <xdr:row>22</xdr:row>
      <xdr:rowOff>19108</xdr:rowOff>
    </xdr:to>
    <xdr:sp macro="" textlink="">
      <xdr:nvSpPr>
        <xdr:cNvPr id="26" name="テキスト 204">
          <a:extLst>
            <a:ext uri="{FF2B5EF4-FFF2-40B4-BE49-F238E27FC236}">
              <a16:creationId xmlns:a16="http://schemas.microsoft.com/office/drawing/2014/main" id="{00000000-0008-0000-0800-00001A000000}"/>
            </a:ext>
          </a:extLst>
        </xdr:cNvPr>
        <xdr:cNvSpPr txBox="1">
          <a:spLocks noChangeArrowheads="1"/>
        </xdr:cNvSpPr>
      </xdr:nvSpPr>
      <xdr:spPr bwMode="auto">
        <a:xfrm>
          <a:off x="5743575" y="5534025"/>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20</xdr:row>
      <xdr:rowOff>0</xdr:rowOff>
    </xdr:from>
    <xdr:to>
      <xdr:col>12</xdr:col>
      <xdr:colOff>0</xdr:colOff>
      <xdr:row>21</xdr:row>
      <xdr:rowOff>28575</xdr:rowOff>
    </xdr:to>
    <xdr:sp macro="" textlink="">
      <xdr:nvSpPr>
        <xdr:cNvPr id="27" name="テキスト 204">
          <a:extLst>
            <a:ext uri="{FF2B5EF4-FFF2-40B4-BE49-F238E27FC236}">
              <a16:creationId xmlns:a16="http://schemas.microsoft.com/office/drawing/2014/main" id="{00000000-0008-0000-0800-00001B000000}"/>
            </a:ext>
          </a:extLst>
        </xdr:cNvPr>
        <xdr:cNvSpPr txBox="1">
          <a:spLocks noChangeArrowheads="1"/>
        </xdr:cNvSpPr>
      </xdr:nvSpPr>
      <xdr:spPr bwMode="auto">
        <a:xfrm>
          <a:off x="701992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0</xdr:rowOff>
    </xdr:from>
    <xdr:to>
      <xdr:col>12</xdr:col>
      <xdr:colOff>0</xdr:colOff>
      <xdr:row>6</xdr:row>
      <xdr:rowOff>28575</xdr:rowOff>
    </xdr:to>
    <xdr:sp macro="" textlink="">
      <xdr:nvSpPr>
        <xdr:cNvPr id="34" name="テキスト 204">
          <a:extLst>
            <a:ext uri="{FF2B5EF4-FFF2-40B4-BE49-F238E27FC236}">
              <a16:creationId xmlns:a16="http://schemas.microsoft.com/office/drawing/2014/main" id="{00000000-0008-0000-0800-000022000000}"/>
            </a:ext>
          </a:extLst>
        </xdr:cNvPr>
        <xdr:cNvSpPr txBox="1">
          <a:spLocks noChangeArrowheads="1"/>
        </xdr:cNvSpPr>
      </xdr:nvSpPr>
      <xdr:spPr bwMode="auto">
        <a:xfrm>
          <a:off x="7019925" y="1552575"/>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7</xdr:row>
      <xdr:rowOff>0</xdr:rowOff>
    </xdr:from>
    <xdr:to>
      <xdr:col>12</xdr:col>
      <xdr:colOff>0</xdr:colOff>
      <xdr:row>8</xdr:row>
      <xdr:rowOff>0</xdr:rowOff>
    </xdr:to>
    <xdr:sp macro="" textlink="">
      <xdr:nvSpPr>
        <xdr:cNvPr id="35" name="テキスト 204">
          <a:extLst>
            <a:ext uri="{FF2B5EF4-FFF2-40B4-BE49-F238E27FC236}">
              <a16:creationId xmlns:a16="http://schemas.microsoft.com/office/drawing/2014/main" id="{00000000-0008-0000-0800-000023000000}"/>
            </a:ext>
          </a:extLst>
        </xdr:cNvPr>
        <xdr:cNvSpPr txBox="1">
          <a:spLocks noChangeArrowheads="1"/>
        </xdr:cNvSpPr>
      </xdr:nvSpPr>
      <xdr:spPr bwMode="auto">
        <a:xfrm>
          <a:off x="7019925" y="20478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155575</xdr:rowOff>
    </xdr:from>
    <xdr:to>
      <xdr:col>12</xdr:col>
      <xdr:colOff>0</xdr:colOff>
      <xdr:row>7</xdr:row>
      <xdr:rowOff>19108</xdr:rowOff>
    </xdr:to>
    <xdr:sp macro="" textlink="">
      <xdr:nvSpPr>
        <xdr:cNvPr id="36" name="テキスト 204">
          <a:extLst>
            <a:ext uri="{FF2B5EF4-FFF2-40B4-BE49-F238E27FC236}">
              <a16:creationId xmlns:a16="http://schemas.microsoft.com/office/drawing/2014/main" id="{00000000-0008-0000-0800-000024000000}"/>
            </a:ext>
          </a:extLst>
        </xdr:cNvPr>
        <xdr:cNvSpPr txBox="1">
          <a:spLocks noChangeArrowheads="1"/>
        </xdr:cNvSpPr>
      </xdr:nvSpPr>
      <xdr:spPr bwMode="auto">
        <a:xfrm>
          <a:off x="7019925" y="1714500"/>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0</xdr:rowOff>
    </xdr:from>
    <xdr:to>
      <xdr:col>10</xdr:col>
      <xdr:colOff>0</xdr:colOff>
      <xdr:row>21</xdr:row>
      <xdr:rowOff>28575</xdr:rowOff>
    </xdr:to>
    <xdr:sp macro="" textlink="">
      <xdr:nvSpPr>
        <xdr:cNvPr id="33" name="テキスト 204">
          <a:extLst>
            <a:ext uri="{FF2B5EF4-FFF2-40B4-BE49-F238E27FC236}">
              <a16:creationId xmlns:a16="http://schemas.microsoft.com/office/drawing/2014/main" id="{00000000-0008-0000-0800-000021000000}"/>
            </a:ext>
          </a:extLst>
        </xdr:cNvPr>
        <xdr:cNvSpPr txBox="1">
          <a:spLocks noChangeArrowheads="1"/>
        </xdr:cNvSpPr>
      </xdr:nvSpPr>
      <xdr:spPr bwMode="auto">
        <a:xfrm>
          <a:off x="593407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22</xdr:row>
      <xdr:rowOff>0</xdr:rowOff>
    </xdr:from>
    <xdr:to>
      <xdr:col>10</xdr:col>
      <xdr:colOff>0</xdr:colOff>
      <xdr:row>23</xdr:row>
      <xdr:rowOff>0</xdr:rowOff>
    </xdr:to>
    <xdr:sp macro="" textlink="">
      <xdr:nvSpPr>
        <xdr:cNvPr id="37" name="テキスト 204">
          <a:extLst>
            <a:ext uri="{FF2B5EF4-FFF2-40B4-BE49-F238E27FC236}">
              <a16:creationId xmlns:a16="http://schemas.microsoft.com/office/drawing/2014/main" id="{00000000-0008-0000-0800-000025000000}"/>
            </a:ext>
          </a:extLst>
        </xdr:cNvPr>
        <xdr:cNvSpPr txBox="1">
          <a:spLocks noChangeArrowheads="1"/>
        </xdr:cNvSpPr>
      </xdr:nvSpPr>
      <xdr:spPr bwMode="auto">
        <a:xfrm>
          <a:off x="5934075" y="58674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24</xdr:row>
      <xdr:rowOff>0</xdr:rowOff>
    </xdr:from>
    <xdr:to>
      <xdr:col>10</xdr:col>
      <xdr:colOff>0</xdr:colOff>
      <xdr:row>25</xdr:row>
      <xdr:rowOff>0</xdr:rowOff>
    </xdr:to>
    <xdr:sp macro="" textlink="">
      <xdr:nvSpPr>
        <xdr:cNvPr id="38" name="テキスト 204">
          <a:extLst>
            <a:ext uri="{FF2B5EF4-FFF2-40B4-BE49-F238E27FC236}">
              <a16:creationId xmlns:a16="http://schemas.microsoft.com/office/drawing/2014/main" id="{00000000-0008-0000-0800-000026000000}"/>
            </a:ext>
          </a:extLst>
        </xdr:cNvPr>
        <xdr:cNvSpPr txBox="1">
          <a:spLocks noChangeArrowheads="1"/>
        </xdr:cNvSpPr>
      </xdr:nvSpPr>
      <xdr:spPr bwMode="auto">
        <a:xfrm>
          <a:off x="5934075" y="63246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155575</xdr:rowOff>
    </xdr:from>
    <xdr:to>
      <xdr:col>10</xdr:col>
      <xdr:colOff>0</xdr:colOff>
      <xdr:row>22</xdr:row>
      <xdr:rowOff>19108</xdr:rowOff>
    </xdr:to>
    <xdr:sp macro="" textlink="">
      <xdr:nvSpPr>
        <xdr:cNvPr id="39" name="テキスト 204">
          <a:extLst>
            <a:ext uri="{FF2B5EF4-FFF2-40B4-BE49-F238E27FC236}">
              <a16:creationId xmlns:a16="http://schemas.microsoft.com/office/drawing/2014/main" id="{00000000-0008-0000-0800-000027000000}"/>
            </a:ext>
          </a:extLst>
        </xdr:cNvPr>
        <xdr:cNvSpPr txBox="1">
          <a:spLocks noChangeArrowheads="1"/>
        </xdr:cNvSpPr>
      </xdr:nvSpPr>
      <xdr:spPr bwMode="auto">
        <a:xfrm>
          <a:off x="5934075" y="5534025"/>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21</xdr:row>
      <xdr:rowOff>0</xdr:rowOff>
    </xdr:from>
    <xdr:to>
      <xdr:col>10</xdr:col>
      <xdr:colOff>0</xdr:colOff>
      <xdr:row>22</xdr:row>
      <xdr:rowOff>0</xdr:rowOff>
    </xdr:to>
    <xdr:sp macro="" textlink="">
      <xdr:nvSpPr>
        <xdr:cNvPr id="41" name="テキスト 204">
          <a:extLst>
            <a:ext uri="{FF2B5EF4-FFF2-40B4-BE49-F238E27FC236}">
              <a16:creationId xmlns:a16="http://schemas.microsoft.com/office/drawing/2014/main" id="{00000000-0008-0000-0800-000029000000}"/>
            </a:ext>
          </a:extLst>
        </xdr:cNvPr>
        <xdr:cNvSpPr txBox="1">
          <a:spLocks noChangeArrowheads="1"/>
        </xdr:cNvSpPr>
      </xdr:nvSpPr>
      <xdr:spPr bwMode="auto">
        <a:xfrm>
          <a:off x="5934075" y="58864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23</xdr:row>
      <xdr:rowOff>0</xdr:rowOff>
    </xdr:from>
    <xdr:to>
      <xdr:col>10</xdr:col>
      <xdr:colOff>0</xdr:colOff>
      <xdr:row>24</xdr:row>
      <xdr:rowOff>0</xdr:rowOff>
    </xdr:to>
    <xdr:sp macro="" textlink="">
      <xdr:nvSpPr>
        <xdr:cNvPr id="42" name="テキスト 204">
          <a:extLst>
            <a:ext uri="{FF2B5EF4-FFF2-40B4-BE49-F238E27FC236}">
              <a16:creationId xmlns:a16="http://schemas.microsoft.com/office/drawing/2014/main" id="{00000000-0008-0000-0800-00002A000000}"/>
            </a:ext>
          </a:extLst>
        </xdr:cNvPr>
        <xdr:cNvSpPr txBox="1">
          <a:spLocks noChangeArrowheads="1"/>
        </xdr:cNvSpPr>
      </xdr:nvSpPr>
      <xdr:spPr bwMode="auto">
        <a:xfrm>
          <a:off x="5934075" y="63436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21</xdr:row>
      <xdr:rowOff>0</xdr:rowOff>
    </xdr:from>
    <xdr:to>
      <xdr:col>10</xdr:col>
      <xdr:colOff>0</xdr:colOff>
      <xdr:row>22</xdr:row>
      <xdr:rowOff>0</xdr:rowOff>
    </xdr:to>
    <xdr:sp macro="" textlink="">
      <xdr:nvSpPr>
        <xdr:cNvPr id="43" name="テキスト 204">
          <a:extLst>
            <a:ext uri="{FF2B5EF4-FFF2-40B4-BE49-F238E27FC236}">
              <a16:creationId xmlns:a16="http://schemas.microsoft.com/office/drawing/2014/main" id="{00000000-0008-0000-0800-00002B000000}"/>
            </a:ext>
          </a:extLst>
        </xdr:cNvPr>
        <xdr:cNvSpPr txBox="1">
          <a:spLocks noChangeArrowheads="1"/>
        </xdr:cNvSpPr>
      </xdr:nvSpPr>
      <xdr:spPr bwMode="auto">
        <a:xfrm>
          <a:off x="5934075" y="58864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23</xdr:row>
      <xdr:rowOff>0</xdr:rowOff>
    </xdr:from>
    <xdr:to>
      <xdr:col>10</xdr:col>
      <xdr:colOff>0</xdr:colOff>
      <xdr:row>24</xdr:row>
      <xdr:rowOff>0</xdr:rowOff>
    </xdr:to>
    <xdr:sp macro="" textlink="">
      <xdr:nvSpPr>
        <xdr:cNvPr id="44" name="テキスト 204">
          <a:extLst>
            <a:ext uri="{FF2B5EF4-FFF2-40B4-BE49-F238E27FC236}">
              <a16:creationId xmlns:a16="http://schemas.microsoft.com/office/drawing/2014/main" id="{00000000-0008-0000-0800-00002C000000}"/>
            </a:ext>
          </a:extLst>
        </xdr:cNvPr>
        <xdr:cNvSpPr txBox="1">
          <a:spLocks noChangeArrowheads="1"/>
        </xdr:cNvSpPr>
      </xdr:nvSpPr>
      <xdr:spPr bwMode="auto">
        <a:xfrm>
          <a:off x="5934075" y="63436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2"/>
  <sheetViews>
    <sheetView zoomScale="70" zoomScaleNormal="70" workbookViewId="0">
      <selection activeCell="H32" sqref="H32:Q41"/>
    </sheetView>
  </sheetViews>
  <sheetFormatPr defaultColWidth="9" defaultRowHeight="13" x14ac:dyDescent="0.2"/>
  <cols>
    <col min="1" max="1" width="1.7265625" style="142" customWidth="1"/>
    <col min="2" max="2" width="5" style="142" customWidth="1"/>
    <col min="3" max="3" width="7" style="142" customWidth="1"/>
    <col min="4" max="4" width="18" style="142" customWidth="1"/>
    <col min="5" max="5" width="8" style="142" hidden="1" customWidth="1"/>
    <col min="6" max="6" width="5" style="142" customWidth="1"/>
    <col min="7" max="7" width="10.90625" style="142" customWidth="1"/>
    <col min="8" max="8" width="8.36328125" style="142" customWidth="1"/>
    <col min="9" max="9" width="8.6328125" style="142" customWidth="1"/>
    <col min="10" max="10" width="5" style="142" customWidth="1"/>
    <col min="11" max="11" width="8.453125" style="142" customWidth="1"/>
    <col min="12" max="12" width="10.90625" style="142" customWidth="1"/>
    <col min="13" max="13" width="9.453125" style="142" customWidth="1"/>
    <col min="14" max="14" width="7.90625" style="142" customWidth="1"/>
    <col min="15" max="15" width="8" style="142" customWidth="1"/>
    <col min="16" max="16" width="12" style="142" bestFit="1" customWidth="1"/>
    <col min="17" max="17" width="11.6328125" style="142" customWidth="1"/>
    <col min="18" max="18" width="1.08984375" style="142" customWidth="1"/>
    <col min="19" max="19" width="4.90625" style="142" customWidth="1"/>
    <col min="20" max="22" width="7.6328125" style="142" hidden="1" customWidth="1"/>
    <col min="23" max="23" width="8.26953125" style="142" customWidth="1"/>
    <col min="24" max="26" width="7.6328125" style="142" customWidth="1"/>
    <col min="27" max="27" width="4.453125" style="142" customWidth="1"/>
    <col min="28" max="30" width="8" style="142" customWidth="1"/>
    <col min="31" max="16384" width="9" style="142"/>
  </cols>
  <sheetData>
    <row r="1" spans="1:32" ht="9.75" customHeight="1" thickBot="1" x14ac:dyDescent="0.25">
      <c r="A1" s="67"/>
      <c r="B1" s="67"/>
      <c r="C1" s="67"/>
      <c r="D1" s="67"/>
      <c r="E1" s="67"/>
      <c r="F1" s="67"/>
      <c r="G1" s="67"/>
      <c r="H1" s="67"/>
      <c r="I1" s="67"/>
      <c r="J1" s="67"/>
      <c r="K1" s="67"/>
      <c r="L1" s="67"/>
      <c r="M1" s="67"/>
      <c r="N1" s="67"/>
      <c r="O1" s="67"/>
      <c r="P1" s="67"/>
      <c r="Q1" s="67"/>
      <c r="R1" s="67"/>
      <c r="S1" s="67"/>
    </row>
    <row r="2" spans="1:32" ht="21" x14ac:dyDescent="0.3">
      <c r="A2" s="67"/>
      <c r="B2" s="59"/>
      <c r="C2" s="60"/>
      <c r="D2" s="563" t="str">
        <f>参照ﾃﾞｰﾀ!F4</f>
        <v>2026年</v>
      </c>
      <c r="E2" s="563"/>
      <c r="F2" s="563"/>
      <c r="G2" s="61" t="s">
        <v>125</v>
      </c>
      <c r="H2" s="62"/>
      <c r="I2" s="63"/>
      <c r="J2" s="59"/>
      <c r="K2" s="64"/>
      <c r="L2" s="59"/>
      <c r="M2" s="65" t="s">
        <v>33</v>
      </c>
      <c r="N2" s="457" t="str">
        <f>参照ﾃﾞｰﾀ!AA4</f>
        <v>G</v>
      </c>
      <c r="O2" s="66" t="s">
        <v>35</v>
      </c>
      <c r="P2" s="183">
        <f>参照ﾃﾞｰﾀ!J4</f>
        <v>46040</v>
      </c>
      <c r="Q2" s="507">
        <v>0.39583333333333331</v>
      </c>
      <c r="R2" s="259"/>
      <c r="S2" s="59"/>
      <c r="T2" s="144" t="s">
        <v>2</v>
      </c>
      <c r="U2" s="143"/>
      <c r="V2" s="143"/>
      <c r="W2" s="144" t="str">
        <f>参照ＴＡ!AC3</f>
        <v>2026年</v>
      </c>
      <c r="X2" s="144" t="str">
        <f>参照ＴＡ!D3</f>
        <v>1月</v>
      </c>
      <c r="Y2" s="143"/>
      <c r="Z2" s="143"/>
      <c r="AA2" s="143"/>
    </row>
    <row r="3" spans="1:32" ht="21.75" customHeight="1" thickBot="1" x14ac:dyDescent="0.35">
      <c r="A3" s="67"/>
      <c r="B3" s="59"/>
      <c r="C3" s="67"/>
      <c r="D3" s="68" t="str">
        <f>参照ﾃﾞｰﾀ!M4</f>
        <v>＃616</v>
      </c>
      <c r="E3" s="564" t="s">
        <v>45</v>
      </c>
      <c r="F3" s="564"/>
      <c r="G3" s="564"/>
      <c r="H3" s="564"/>
      <c r="I3" s="564"/>
      <c r="J3" s="565" t="s">
        <v>65</v>
      </c>
      <c r="K3" s="565"/>
      <c r="L3" s="59"/>
      <c r="M3" s="69" t="s">
        <v>56</v>
      </c>
      <c r="N3" s="70">
        <f>IF(ISBLANK(N2),"",VLOOKUP(N2,コース・距離,2,FALSE))</f>
        <v>4.8</v>
      </c>
      <c r="O3" s="71" t="s">
        <v>0</v>
      </c>
      <c r="P3" s="456">
        <v>13</v>
      </c>
      <c r="Q3" s="72" t="s">
        <v>1</v>
      </c>
      <c r="R3" s="260"/>
      <c r="S3" s="59"/>
      <c r="T3" s="143" t="s">
        <v>168</v>
      </c>
      <c r="U3" s="143"/>
      <c r="V3" s="143"/>
      <c r="W3" s="144" t="s">
        <v>2</v>
      </c>
      <c r="X3" s="143"/>
      <c r="Y3" s="143"/>
      <c r="Z3" s="143"/>
      <c r="AA3" s="143"/>
      <c r="AB3" s="145" t="s">
        <v>57</v>
      </c>
    </row>
    <row r="4" spans="1:32" ht="7.5" customHeight="1" thickBot="1" x14ac:dyDescent="0.3">
      <c r="A4" s="67"/>
      <c r="B4" s="59"/>
      <c r="C4" s="59"/>
      <c r="D4" s="59"/>
      <c r="E4" s="59"/>
      <c r="F4" s="59"/>
      <c r="G4" s="59"/>
      <c r="H4" s="59"/>
      <c r="I4" s="59"/>
      <c r="J4" s="59"/>
      <c r="K4" s="59"/>
      <c r="L4" s="59"/>
      <c r="M4" s="59"/>
      <c r="N4" s="59"/>
      <c r="O4" s="59"/>
      <c r="P4" s="59"/>
      <c r="Q4" s="59"/>
      <c r="R4" s="59"/>
      <c r="S4" s="59"/>
      <c r="T4" s="143"/>
      <c r="U4" s="143"/>
      <c r="V4" s="143"/>
      <c r="W4" s="146"/>
      <c r="X4" s="143"/>
      <c r="Y4" s="143"/>
      <c r="Z4" s="143"/>
      <c r="AA4" s="143"/>
    </row>
    <row r="5" spans="1:32" ht="14" x14ac:dyDescent="0.2">
      <c r="A5" s="67"/>
      <c r="B5" s="73" t="s">
        <v>3</v>
      </c>
      <c r="C5" s="74" t="s">
        <v>4</v>
      </c>
      <c r="D5" s="74" t="s">
        <v>5</v>
      </c>
      <c r="E5" s="74" t="s">
        <v>6</v>
      </c>
      <c r="F5" s="74" t="s">
        <v>7</v>
      </c>
      <c r="G5" s="74" t="s">
        <v>8</v>
      </c>
      <c r="H5" s="74" t="s">
        <v>9</v>
      </c>
      <c r="I5" s="74" t="s">
        <v>10</v>
      </c>
      <c r="J5" s="74" t="s">
        <v>11</v>
      </c>
      <c r="K5" s="74" t="s">
        <v>12</v>
      </c>
      <c r="L5" s="75" t="s">
        <v>178</v>
      </c>
      <c r="M5" s="75" t="s">
        <v>175</v>
      </c>
      <c r="N5" s="74" t="s">
        <v>52</v>
      </c>
      <c r="O5" s="74" t="s">
        <v>13</v>
      </c>
      <c r="P5" s="566" t="s">
        <v>51</v>
      </c>
      <c r="Q5" s="567"/>
      <c r="R5" s="261"/>
      <c r="S5" s="140"/>
      <c r="T5" s="149" t="s">
        <v>10</v>
      </c>
      <c r="U5" s="147" t="s">
        <v>10</v>
      </c>
      <c r="V5" s="150" t="s">
        <v>10</v>
      </c>
      <c r="W5" s="149" t="s">
        <v>10</v>
      </c>
      <c r="X5" s="147" t="s">
        <v>10</v>
      </c>
      <c r="Y5" s="147" t="s">
        <v>10</v>
      </c>
      <c r="Z5" s="374" t="s">
        <v>10</v>
      </c>
      <c r="AA5" s="148"/>
      <c r="AB5" s="149" t="s">
        <v>13</v>
      </c>
      <c r="AC5" s="147" t="s">
        <v>13</v>
      </c>
      <c r="AD5" s="316" t="s">
        <v>13</v>
      </c>
      <c r="AE5" s="147" t="s">
        <v>13</v>
      </c>
      <c r="AF5" s="374" t="s">
        <v>13</v>
      </c>
    </row>
    <row r="6" spans="1:32" ht="14" x14ac:dyDescent="0.2">
      <c r="A6" s="67"/>
      <c r="B6" s="76"/>
      <c r="C6" s="77" t="s">
        <v>14</v>
      </c>
      <c r="D6" s="78"/>
      <c r="E6" s="79" t="s">
        <v>15</v>
      </c>
      <c r="F6" s="79"/>
      <c r="G6" s="77" t="s">
        <v>16</v>
      </c>
      <c r="H6" s="79" t="s">
        <v>17</v>
      </c>
      <c r="I6" s="455" t="s">
        <v>247</v>
      </c>
      <c r="J6" s="79" t="s">
        <v>18</v>
      </c>
      <c r="K6" s="79" t="s">
        <v>17</v>
      </c>
      <c r="L6" s="77" t="s">
        <v>16</v>
      </c>
      <c r="M6" s="79" t="s">
        <v>31</v>
      </c>
      <c r="N6" s="79" t="s">
        <v>19</v>
      </c>
      <c r="O6" s="373" t="s">
        <v>327</v>
      </c>
      <c r="P6" s="80"/>
      <c r="Q6" s="81"/>
      <c r="R6" s="140"/>
      <c r="S6" s="141"/>
      <c r="T6" s="153" t="s">
        <v>20</v>
      </c>
      <c r="U6" s="151" t="s">
        <v>22</v>
      </c>
      <c r="V6" s="154" t="s">
        <v>21</v>
      </c>
      <c r="W6" s="153" t="s">
        <v>20</v>
      </c>
      <c r="X6" s="151" t="s">
        <v>22</v>
      </c>
      <c r="Y6" s="151" t="s">
        <v>21</v>
      </c>
      <c r="Z6" s="458" t="s">
        <v>230</v>
      </c>
      <c r="AA6" s="152"/>
      <c r="AB6" s="382" t="s">
        <v>192</v>
      </c>
      <c r="AC6" s="373" t="s">
        <v>59</v>
      </c>
      <c r="AD6" s="383" t="s">
        <v>191</v>
      </c>
      <c r="AE6" s="373" t="s">
        <v>231</v>
      </c>
      <c r="AF6" s="379" t="s">
        <v>232</v>
      </c>
    </row>
    <row r="7" spans="1:32" ht="14" x14ac:dyDescent="0.2">
      <c r="A7" s="67"/>
      <c r="B7" s="323">
        <v>1</v>
      </c>
      <c r="C7" s="174">
        <v>7177</v>
      </c>
      <c r="D7" s="175" t="str">
        <f t="shared" ref="D7:D19" si="0">IF(ISBLANK(C7),"",VLOOKUP(C7,第1月ＴＡ,2,FALSE))</f>
        <v>Miss Emica</v>
      </c>
      <c r="E7" s="324" t="e">
        <f t="shared" ref="E7:E19" si="1">IF($I$6="Ⅰ",T7,IF($I$6="Ⅱ",U7,IF($I$6="Ⅲ",V7,"")))</f>
        <v>#REF!</v>
      </c>
      <c r="F7" s="325">
        <v>4</v>
      </c>
      <c r="G7" s="326">
        <v>0.42767361111111113</v>
      </c>
      <c r="H7" s="174">
        <f t="shared" ref="H7:H19" si="2">IFERROR(IF(G7-$Q$2&lt;=0,"",(G7-$Q$2)*86400),"")</f>
        <v>2751.0000000000032</v>
      </c>
      <c r="I7" s="327">
        <f t="shared" ref="I7:I19" si="3">IF($I$6="Ⅰ",W7,IF($I$6="Ⅱ",X7,IF($I$6="Ⅲ",Y7,IF($I$6="IV",Z7,""))))</f>
        <v>570.9</v>
      </c>
      <c r="J7" s="325"/>
      <c r="K7" s="328">
        <f t="shared" ref="K7:K19" si="4">IFERROR(H7*(1+0.01*J7)-I7*$N$3,"")</f>
        <v>10.680000000003474</v>
      </c>
      <c r="L7" s="326">
        <f t="shared" ref="L7:L23" si="5">IFERROR((K7-$K$7)/86400,"")</f>
        <v>0</v>
      </c>
      <c r="M7" s="199">
        <f t="shared" ref="M7:M23" si="6">IFERROR((K7-$K$7)/$N$3,"")</f>
        <v>0</v>
      </c>
      <c r="N7" s="329">
        <f t="shared" ref="N7:N23" si="7">IFERROR($N$3/(H7/3600),"")</f>
        <v>6.2813522355507017</v>
      </c>
      <c r="O7" s="199">
        <f t="shared" ref="O7:O8" si="8">ROUND(IF($O$6="MAX=15",AB7,IF($O$6="MAX=20",AC7,IF($O$6="MAX=25",AD7,IF($O$6="MAX=30",AE7,IF($O$6="MAX=40",AF7))))),1)</f>
        <v>15</v>
      </c>
      <c r="P7" s="330"/>
      <c r="Q7" s="331"/>
      <c r="R7" s="140"/>
      <c r="S7" s="140"/>
      <c r="T7" s="156" t="e">
        <f t="shared" ref="T7:T31" si="9">IF(ISBLANK(C7),"",VLOOKUP(C7,各艇データ,3,FALSE))</f>
        <v>#REF!</v>
      </c>
      <c r="U7" s="157" t="e">
        <f t="shared" ref="U7:U31" si="10">IF(ISBLANK(C7),"",VLOOKUP(C7,各艇データ,4,FALSE))</f>
        <v>#REF!</v>
      </c>
      <c r="V7" s="158" t="e">
        <f t="shared" ref="V7:V31" si="11">IF(ISBLANK(C7),"",VLOOKUP(C7,各艇データ,5,FALSE))</f>
        <v>#REF!</v>
      </c>
      <c r="W7" s="310">
        <f t="shared" ref="W7:W31" si="12">IF(ISBLANK(C7),"",VLOOKUP(C7,第1月ＴＡ,3,FALSE))</f>
        <v>920.75</v>
      </c>
      <c r="X7" s="311">
        <f t="shared" ref="X7:X31" si="13">IF(ISBLANK(C7),"",VLOOKUP(C7,第1月ＴＡ,4,FALSE))</f>
        <v>661.75</v>
      </c>
      <c r="Y7" s="377">
        <f t="shared" ref="Y7:Y31" si="14">IF(ISBLANK(C7),"",VLOOKUP(C7,第1月ＴＡ,5,FALSE))</f>
        <v>570.9</v>
      </c>
      <c r="Z7" s="375">
        <f t="shared" ref="Z7:Z31" si="15">IF(ISBLANK(C7),"",VLOOKUP(C7,第1月ＴＡ,6,FALSE))</f>
        <v>547.9</v>
      </c>
      <c r="AA7" s="148"/>
      <c r="AB7" s="160">
        <f>IF(ISBLANK(B7),"",IFERROR(15*($P$3+1-$B7)/$P$3,"15.0"))</f>
        <v>15</v>
      </c>
      <c r="AC7" s="155">
        <f>IF(ISBLANK(B7),"",IFERROR(20*($P$3+1-$B7)/$P$3,"20.0"))</f>
        <v>20</v>
      </c>
      <c r="AD7" s="155">
        <f>IF(ISBLANK(B7),"",IFERROR(25*($P$3+1-$B7)/$P$3,"25.0"))</f>
        <v>25</v>
      </c>
      <c r="AE7" s="155">
        <f>IF(ISBLANK($B7),"",IFERROR(30*($P$3+1-$B7)/$P$3,"30.0"))</f>
        <v>30</v>
      </c>
      <c r="AF7" s="384">
        <f>IF(ISBLANK($B7),"",IFERROR(40*($P$3+1-$B7)/$P$3,"40.0"))</f>
        <v>40</v>
      </c>
    </row>
    <row r="8" spans="1:32" ht="14" x14ac:dyDescent="0.2">
      <c r="A8" s="67"/>
      <c r="B8" s="332">
        <v>2</v>
      </c>
      <c r="C8" s="176">
        <v>6732</v>
      </c>
      <c r="D8" s="177" t="str">
        <f t="shared" si="0"/>
        <v>アイデアル</v>
      </c>
      <c r="E8" s="333" t="e">
        <f t="shared" si="1"/>
        <v>#REF!</v>
      </c>
      <c r="F8" s="334">
        <v>2</v>
      </c>
      <c r="G8" s="335">
        <v>0.4268865740740741</v>
      </c>
      <c r="H8" s="176">
        <f t="shared" si="2"/>
        <v>2683.0000000000036</v>
      </c>
      <c r="I8" s="336">
        <f t="shared" si="3"/>
        <v>547.65</v>
      </c>
      <c r="J8" s="334"/>
      <c r="K8" s="337">
        <f t="shared" si="4"/>
        <v>54.280000000003838</v>
      </c>
      <c r="L8" s="335">
        <f t="shared" si="5"/>
        <v>5.0462962962963384E-4</v>
      </c>
      <c r="M8" s="205">
        <f t="shared" si="6"/>
        <v>9.0833333333334103</v>
      </c>
      <c r="N8" s="338">
        <f t="shared" si="7"/>
        <v>6.4405516213194094</v>
      </c>
      <c r="O8" s="205">
        <f t="shared" si="8"/>
        <v>13.8</v>
      </c>
      <c r="P8" s="340"/>
      <c r="Q8" s="341"/>
      <c r="R8" s="140"/>
      <c r="S8" s="140"/>
      <c r="T8" s="156" t="e">
        <f t="shared" si="9"/>
        <v>#REF!</v>
      </c>
      <c r="U8" s="157" t="e">
        <f t="shared" si="10"/>
        <v>#REF!</v>
      </c>
      <c r="V8" s="158" t="e">
        <f t="shared" si="11"/>
        <v>#REF!</v>
      </c>
      <c r="W8" s="310">
        <f t="shared" si="12"/>
        <v>847.95</v>
      </c>
      <c r="X8" s="311">
        <f t="shared" si="13"/>
        <v>621.35</v>
      </c>
      <c r="Y8" s="377">
        <f t="shared" si="14"/>
        <v>547.65</v>
      </c>
      <c r="Z8" s="375">
        <f t="shared" si="15"/>
        <v>523.75</v>
      </c>
      <c r="AA8" s="148"/>
      <c r="AB8" s="160">
        <f t="shared" ref="AB8:AB31" si="16">IF(ISBLANK(B8),"",IFERROR(15*($P$3+1-$B8)/$P$3,"15.0"))</f>
        <v>13.846153846153847</v>
      </c>
      <c r="AC8" s="155">
        <f>IF(ISBLANK(B8),"",IFERROR(20*($P$3+1-$B8)/$P$3,"20.0"))</f>
        <v>18.46153846153846</v>
      </c>
      <c r="AD8" s="155">
        <f t="shared" ref="AD8:AD31" si="17">IF(ISBLANK(B8),"",IFERROR(25*($P$3+1-$B8)/$P$3,"25.0"))</f>
        <v>23.076923076923077</v>
      </c>
      <c r="AE8" s="155">
        <f t="shared" ref="AE8:AE26" si="18">IF(ISBLANK($B8),"",IFERROR(30*($P$3+1-$B8)/$P$3,"30.0"))</f>
        <v>27.692307692307693</v>
      </c>
      <c r="AF8" s="384">
        <f t="shared" ref="AF8:AF31" si="19">IF(ISBLANK($B8),"",IFERROR(40*($P$3+1-$B8)/$P$3,"40.0"))</f>
        <v>36.92307692307692</v>
      </c>
    </row>
    <row r="9" spans="1:32" ht="14" x14ac:dyDescent="0.2">
      <c r="A9" s="67"/>
      <c r="B9" s="332">
        <v>3</v>
      </c>
      <c r="C9" s="176">
        <v>6451</v>
      </c>
      <c r="D9" s="177" t="str">
        <f t="shared" si="0"/>
        <v>Hanamizuki</v>
      </c>
      <c r="E9" s="333" t="e">
        <f t="shared" si="1"/>
        <v>#REF!</v>
      </c>
      <c r="F9" s="334">
        <v>1</v>
      </c>
      <c r="G9" s="335">
        <v>0.4224074074074074</v>
      </c>
      <c r="H9" s="176">
        <f t="shared" si="2"/>
        <v>2296.0000000000009</v>
      </c>
      <c r="I9" s="336">
        <f t="shared" si="3"/>
        <v>464.92635000000001</v>
      </c>
      <c r="J9" s="334"/>
      <c r="K9" s="337">
        <f t="shared" si="4"/>
        <v>64.353520000001026</v>
      </c>
      <c r="L9" s="335">
        <f t="shared" si="5"/>
        <v>6.2122129629626794E-4</v>
      </c>
      <c r="M9" s="205">
        <f t="shared" si="6"/>
        <v>11.181983333332823</v>
      </c>
      <c r="N9" s="338">
        <f t="shared" si="7"/>
        <v>7.5261324041811815</v>
      </c>
      <c r="O9" s="205">
        <f>ROUND(IF($O$6="MAX=15",AB9,IF($O$6="MAX=20",AC9,IF($O$6="MAX=25",AD9,IF($O$6="MAX=30",AE9,IF($O$6="MAX=40",AF9))))),1)</f>
        <v>12.7</v>
      </c>
      <c r="P9" s="340"/>
      <c r="Q9" s="341"/>
      <c r="R9" s="140"/>
      <c r="S9" s="140"/>
      <c r="T9" s="156" t="e">
        <f t="shared" si="9"/>
        <v>#REF!</v>
      </c>
      <c r="U9" s="157" t="e">
        <f t="shared" si="10"/>
        <v>#REF!</v>
      </c>
      <c r="V9" s="158" t="e">
        <f t="shared" si="11"/>
        <v>#REF!</v>
      </c>
      <c r="W9" s="310">
        <f t="shared" si="12"/>
        <v>755.33500000000004</v>
      </c>
      <c r="X9" s="311">
        <f t="shared" si="13"/>
        <v>544.20119999999997</v>
      </c>
      <c r="Y9" s="377">
        <f t="shared" si="14"/>
        <v>464.92635000000001</v>
      </c>
      <c r="Z9" s="375">
        <f t="shared" si="15"/>
        <v>429.51150000000001</v>
      </c>
      <c r="AA9" s="148"/>
      <c r="AB9" s="160">
        <f t="shared" si="16"/>
        <v>12.692307692307692</v>
      </c>
      <c r="AC9" s="155">
        <f t="shared" ref="AC9:AC31" si="20">IF(ISBLANK(B9),"",IFERROR(20*($P$3+1-$B9)/$P$3,"20.0"))</f>
        <v>16.923076923076923</v>
      </c>
      <c r="AD9" s="155">
        <f t="shared" si="17"/>
        <v>21.153846153846153</v>
      </c>
      <c r="AE9" s="155">
        <f t="shared" si="18"/>
        <v>25.384615384615383</v>
      </c>
      <c r="AF9" s="384">
        <f t="shared" si="19"/>
        <v>33.846153846153847</v>
      </c>
    </row>
    <row r="10" spans="1:32" ht="14" x14ac:dyDescent="0.2">
      <c r="A10" s="67"/>
      <c r="B10" s="332">
        <v>4</v>
      </c>
      <c r="C10" s="176">
        <v>6971</v>
      </c>
      <c r="D10" s="177" t="str">
        <f t="shared" si="0"/>
        <v>LADY KANON</v>
      </c>
      <c r="E10" s="333" t="e">
        <f t="shared" si="1"/>
        <v>#REF!</v>
      </c>
      <c r="F10" s="334">
        <v>3</v>
      </c>
      <c r="G10" s="335">
        <v>0.42722222222222223</v>
      </c>
      <c r="H10" s="176">
        <f t="shared" si="2"/>
        <v>2712.0000000000018</v>
      </c>
      <c r="I10" s="336">
        <f t="shared" si="3"/>
        <v>544.45000000000005</v>
      </c>
      <c r="J10" s="334"/>
      <c r="K10" s="337">
        <f t="shared" si="4"/>
        <v>98.640000000001692</v>
      </c>
      <c r="L10" s="335">
        <f t="shared" si="5"/>
        <v>1.0180555555555349E-3</v>
      </c>
      <c r="M10" s="205">
        <f t="shared" si="6"/>
        <v>18.32499999999963</v>
      </c>
      <c r="N10" s="338">
        <f t="shared" si="7"/>
        <v>6.3716814159291992</v>
      </c>
      <c r="O10" s="205">
        <f t="shared" ref="O10:O19" si="21">ROUND(IF($O$6="MAX=15",AB10,IF($O$6="MAX=20",AC10,IF($O$6="MAX=25",AD10,IF($O$6="MAX=30",AE10,IF($O$6="MAX=40",AF10))))),1)</f>
        <v>11.5</v>
      </c>
      <c r="P10" s="342"/>
      <c r="Q10" s="341"/>
      <c r="R10" s="140"/>
      <c r="S10" s="140"/>
      <c r="T10" s="156" t="e">
        <f t="shared" si="9"/>
        <v>#REF!</v>
      </c>
      <c r="U10" s="157" t="e">
        <f t="shared" si="10"/>
        <v>#REF!</v>
      </c>
      <c r="V10" s="158" t="e">
        <f t="shared" si="11"/>
        <v>#REF!</v>
      </c>
      <c r="W10" s="310">
        <f t="shared" si="12"/>
        <v>851.25</v>
      </c>
      <c r="X10" s="311">
        <f t="shared" si="13"/>
        <v>625.25</v>
      </c>
      <c r="Y10" s="377">
        <f t="shared" si="14"/>
        <v>544.45000000000005</v>
      </c>
      <c r="Z10" s="375">
        <f t="shared" si="15"/>
        <v>517.65</v>
      </c>
      <c r="AA10" s="148"/>
      <c r="AB10" s="160">
        <f t="shared" si="16"/>
        <v>11.538461538461538</v>
      </c>
      <c r="AC10" s="155">
        <f t="shared" si="20"/>
        <v>15.384615384615385</v>
      </c>
      <c r="AD10" s="155">
        <f t="shared" si="17"/>
        <v>19.23076923076923</v>
      </c>
      <c r="AE10" s="155">
        <f t="shared" si="18"/>
        <v>23.076923076923077</v>
      </c>
      <c r="AF10" s="384">
        <f t="shared" si="19"/>
        <v>30.76923076923077</v>
      </c>
    </row>
    <row r="11" spans="1:32" ht="14" x14ac:dyDescent="0.2">
      <c r="A11" s="67"/>
      <c r="B11" s="343">
        <v>5</v>
      </c>
      <c r="C11" s="176">
        <v>150</v>
      </c>
      <c r="D11" s="179" t="str">
        <f t="shared" si="0"/>
        <v>SHARK X</v>
      </c>
      <c r="E11" s="344" t="e">
        <f t="shared" si="1"/>
        <v>#REF!</v>
      </c>
      <c r="F11" s="345">
        <v>6</v>
      </c>
      <c r="G11" s="346">
        <v>0.42785879629629631</v>
      </c>
      <c r="H11" s="347">
        <f t="shared" si="2"/>
        <v>2767.0000000000023</v>
      </c>
      <c r="I11" s="348">
        <f t="shared" si="3"/>
        <v>543.88634999999999</v>
      </c>
      <c r="J11" s="349"/>
      <c r="K11" s="350">
        <f t="shared" si="4"/>
        <v>156.34552000000258</v>
      </c>
      <c r="L11" s="351">
        <f t="shared" si="5"/>
        <v>1.6859435185185082E-3</v>
      </c>
      <c r="M11" s="352">
        <f t="shared" si="6"/>
        <v>30.346983333333149</v>
      </c>
      <c r="N11" s="353">
        <f t="shared" si="7"/>
        <v>6.2450307191904537</v>
      </c>
      <c r="O11" s="352">
        <f t="shared" si="21"/>
        <v>10.4</v>
      </c>
      <c r="P11" s="354"/>
      <c r="Q11" s="355"/>
      <c r="R11" s="140"/>
      <c r="S11" s="140"/>
      <c r="T11" s="156" t="e">
        <f t="shared" si="9"/>
        <v>#REF!</v>
      </c>
      <c r="U11" s="157" t="e">
        <f t="shared" si="10"/>
        <v>#REF!</v>
      </c>
      <c r="V11" s="158" t="e">
        <f t="shared" si="11"/>
        <v>#REF!</v>
      </c>
      <c r="W11" s="310">
        <f t="shared" si="12"/>
        <v>844.07399999999996</v>
      </c>
      <c r="X11" s="311">
        <f t="shared" si="13"/>
        <v>622.33079999999995</v>
      </c>
      <c r="Y11" s="377">
        <f t="shared" si="14"/>
        <v>543.88634999999999</v>
      </c>
      <c r="Z11" s="375">
        <f t="shared" si="15"/>
        <v>519.75</v>
      </c>
      <c r="AA11" s="148"/>
      <c r="AB11" s="160">
        <f t="shared" si="16"/>
        <v>10.384615384615385</v>
      </c>
      <c r="AC11" s="155">
        <f t="shared" si="20"/>
        <v>13.846153846153847</v>
      </c>
      <c r="AD11" s="155">
        <f t="shared" si="17"/>
        <v>17.307692307692307</v>
      </c>
      <c r="AE11" s="155">
        <f t="shared" si="18"/>
        <v>20.76923076923077</v>
      </c>
      <c r="AF11" s="384">
        <f t="shared" si="19"/>
        <v>27.692307692307693</v>
      </c>
    </row>
    <row r="12" spans="1:32" ht="14" x14ac:dyDescent="0.2">
      <c r="A12" s="67"/>
      <c r="B12" s="323">
        <v>6</v>
      </c>
      <c r="C12" s="174">
        <v>131</v>
      </c>
      <c r="D12" s="182" t="str">
        <f t="shared" si="0"/>
        <v>ふるたか</v>
      </c>
      <c r="E12" s="324" t="e">
        <f t="shared" si="1"/>
        <v>#REF!</v>
      </c>
      <c r="F12" s="325">
        <v>10</v>
      </c>
      <c r="G12" s="326">
        <v>0.42920138888888887</v>
      </c>
      <c r="H12" s="174">
        <f t="shared" si="2"/>
        <v>2883</v>
      </c>
      <c r="I12" s="327">
        <f t="shared" si="3"/>
        <v>561.54999999999995</v>
      </c>
      <c r="J12" s="325"/>
      <c r="K12" s="328">
        <f t="shared" si="4"/>
        <v>187.5600000000004</v>
      </c>
      <c r="L12" s="326">
        <f t="shared" si="5"/>
        <v>2.0472222222221868E-3</v>
      </c>
      <c r="M12" s="199">
        <f t="shared" si="6"/>
        <v>36.849999999999362</v>
      </c>
      <c r="N12" s="329">
        <f t="shared" si="7"/>
        <v>5.9937565036420395</v>
      </c>
      <c r="O12" s="199">
        <f t="shared" si="21"/>
        <v>9.1999999999999993</v>
      </c>
      <c r="Q12" s="331"/>
      <c r="R12" s="140"/>
      <c r="S12" s="140"/>
      <c r="T12" s="156" t="e">
        <f t="shared" si="9"/>
        <v>#REF!</v>
      </c>
      <c r="U12" s="157" t="e">
        <f t="shared" si="10"/>
        <v>#REF!</v>
      </c>
      <c r="V12" s="158" t="e">
        <f t="shared" si="11"/>
        <v>#REF!</v>
      </c>
      <c r="W12" s="310">
        <f t="shared" si="12"/>
        <v>884</v>
      </c>
      <c r="X12" s="311">
        <f t="shared" si="13"/>
        <v>643.75</v>
      </c>
      <c r="Y12" s="377">
        <f t="shared" si="14"/>
        <v>561.54999999999995</v>
      </c>
      <c r="Z12" s="375">
        <f t="shared" si="15"/>
        <v>542.35</v>
      </c>
      <c r="AA12" s="148"/>
      <c r="AB12" s="160">
        <f t="shared" si="16"/>
        <v>9.2307692307692299</v>
      </c>
      <c r="AC12" s="155">
        <f t="shared" si="20"/>
        <v>12.307692307692308</v>
      </c>
      <c r="AD12" s="155">
        <f t="shared" si="17"/>
        <v>15.384615384615385</v>
      </c>
      <c r="AE12" s="155">
        <f t="shared" si="18"/>
        <v>18.46153846153846</v>
      </c>
      <c r="AF12" s="384">
        <f t="shared" si="19"/>
        <v>24.615384615384617</v>
      </c>
    </row>
    <row r="13" spans="1:32" ht="14" x14ac:dyDescent="0.2">
      <c r="A13" s="67"/>
      <c r="B13" s="332">
        <v>7</v>
      </c>
      <c r="C13" s="176">
        <v>4071</v>
      </c>
      <c r="D13" s="177" t="str">
        <f t="shared" si="0"/>
        <v>胡桃</v>
      </c>
      <c r="E13" s="333" t="e">
        <f t="shared" si="1"/>
        <v>#REF!</v>
      </c>
      <c r="F13" s="334">
        <v>9</v>
      </c>
      <c r="G13" s="335">
        <v>0.42903935185185182</v>
      </c>
      <c r="H13" s="176">
        <f t="shared" si="2"/>
        <v>2868.9999999999991</v>
      </c>
      <c r="I13" s="336">
        <f t="shared" si="3"/>
        <v>553.04999999999995</v>
      </c>
      <c r="J13" s="334"/>
      <c r="K13" s="337">
        <f t="shared" si="4"/>
        <v>214.35999999999922</v>
      </c>
      <c r="L13" s="335">
        <f t="shared" si="5"/>
        <v>2.357407407407358E-3</v>
      </c>
      <c r="M13" s="205">
        <f t="shared" si="6"/>
        <v>42.433333333332449</v>
      </c>
      <c r="N13" s="338">
        <f t="shared" si="7"/>
        <v>6.0230045311955402</v>
      </c>
      <c r="O13" s="205">
        <f t="shared" si="21"/>
        <v>8.1</v>
      </c>
      <c r="P13" s="356"/>
      <c r="Q13" s="341"/>
      <c r="R13" s="140"/>
      <c r="S13" s="140"/>
      <c r="T13" s="156" t="e">
        <f t="shared" si="9"/>
        <v>#REF!</v>
      </c>
      <c r="U13" s="157" t="e">
        <f t="shared" si="10"/>
        <v>#REF!</v>
      </c>
      <c r="V13" s="158" t="e">
        <f t="shared" si="11"/>
        <v>#REF!</v>
      </c>
      <c r="W13" s="310">
        <f t="shared" si="12"/>
        <v>917.35</v>
      </c>
      <c r="X13" s="311">
        <f t="shared" si="13"/>
        <v>654.9</v>
      </c>
      <c r="Y13" s="377">
        <f t="shared" si="14"/>
        <v>553.04999999999995</v>
      </c>
      <c r="Z13" s="375">
        <f t="shared" si="15"/>
        <v>529.04999999999995</v>
      </c>
      <c r="AA13" s="148"/>
      <c r="AB13" s="160">
        <f t="shared" si="16"/>
        <v>8.0769230769230766</v>
      </c>
      <c r="AC13" s="155">
        <f t="shared" si="20"/>
        <v>10.76923076923077</v>
      </c>
      <c r="AD13" s="155">
        <f t="shared" si="17"/>
        <v>13.461538461538462</v>
      </c>
      <c r="AE13" s="155">
        <f t="shared" si="18"/>
        <v>16.153846153846153</v>
      </c>
      <c r="AF13" s="384">
        <f t="shared" si="19"/>
        <v>21.53846153846154</v>
      </c>
    </row>
    <row r="14" spans="1:32" ht="14" x14ac:dyDescent="0.2">
      <c r="A14" s="67"/>
      <c r="B14" s="332">
        <v>8</v>
      </c>
      <c r="C14" s="176">
        <v>346</v>
      </c>
      <c r="D14" s="177" t="str">
        <f t="shared" si="0"/>
        <v>飛車角</v>
      </c>
      <c r="E14" s="333" t="e">
        <f t="shared" si="1"/>
        <v>#REF!</v>
      </c>
      <c r="F14" s="334">
        <v>8</v>
      </c>
      <c r="G14" s="335">
        <v>0.42866898148148147</v>
      </c>
      <c r="H14" s="176">
        <f t="shared" si="2"/>
        <v>2837.0000000000005</v>
      </c>
      <c r="I14" s="336">
        <f t="shared" si="3"/>
        <v>540.6</v>
      </c>
      <c r="J14" s="334"/>
      <c r="K14" s="337">
        <f t="shared" si="4"/>
        <v>242.12000000000035</v>
      </c>
      <c r="L14" s="335">
        <f t="shared" si="5"/>
        <v>2.6787037037036675E-3</v>
      </c>
      <c r="M14" s="205">
        <f t="shared" si="6"/>
        <v>48.216666666666015</v>
      </c>
      <c r="N14" s="338">
        <f t="shared" si="7"/>
        <v>6.0909411350017608</v>
      </c>
      <c r="O14" s="205">
        <f t="shared" si="21"/>
        <v>6.9</v>
      </c>
      <c r="P14" s="340"/>
      <c r="Q14" s="341"/>
      <c r="R14" s="140"/>
      <c r="S14" s="140"/>
      <c r="T14" s="156" t="e">
        <f t="shared" si="9"/>
        <v>#REF!</v>
      </c>
      <c r="U14" s="157" t="e">
        <f t="shared" si="10"/>
        <v>#REF!</v>
      </c>
      <c r="V14" s="158" t="e">
        <f t="shared" si="11"/>
        <v>#REF!</v>
      </c>
      <c r="W14" s="310">
        <f t="shared" si="12"/>
        <v>849.85</v>
      </c>
      <c r="X14" s="311">
        <f t="shared" si="13"/>
        <v>614.4</v>
      </c>
      <c r="Y14" s="377">
        <f t="shared" si="14"/>
        <v>540.6</v>
      </c>
      <c r="Z14" s="375">
        <f t="shared" si="15"/>
        <v>519.29999999999995</v>
      </c>
      <c r="AA14" s="148"/>
      <c r="AB14" s="160">
        <f t="shared" si="16"/>
        <v>6.9230769230769234</v>
      </c>
      <c r="AC14" s="155">
        <f t="shared" si="20"/>
        <v>9.2307692307692299</v>
      </c>
      <c r="AD14" s="155">
        <f t="shared" si="17"/>
        <v>11.538461538461538</v>
      </c>
      <c r="AE14" s="155">
        <f t="shared" si="18"/>
        <v>13.846153846153847</v>
      </c>
      <c r="AF14" s="384">
        <f t="shared" si="19"/>
        <v>18.46153846153846</v>
      </c>
    </row>
    <row r="15" spans="1:32" ht="14" x14ac:dyDescent="0.2">
      <c r="A15" s="67"/>
      <c r="B15" s="332">
        <v>9</v>
      </c>
      <c r="C15" s="176">
        <v>321</v>
      </c>
      <c r="D15" s="177" t="str">
        <f t="shared" si="0"/>
        <v>かまくら</v>
      </c>
      <c r="E15" s="333" t="e">
        <f t="shared" si="1"/>
        <v>#REF!</v>
      </c>
      <c r="F15" s="334">
        <v>7</v>
      </c>
      <c r="G15" s="335">
        <v>0.4284027777777778</v>
      </c>
      <c r="H15" s="176">
        <f t="shared" si="2"/>
        <v>2814.0000000000036</v>
      </c>
      <c r="I15" s="336">
        <f t="shared" si="3"/>
        <v>534.6</v>
      </c>
      <c r="J15" s="334"/>
      <c r="K15" s="337">
        <f t="shared" si="4"/>
        <v>247.92000000000371</v>
      </c>
      <c r="L15" s="335">
        <f t="shared" si="5"/>
        <v>2.7458333333333362E-3</v>
      </c>
      <c r="M15" s="205">
        <f t="shared" si="6"/>
        <v>49.425000000000054</v>
      </c>
      <c r="N15" s="338">
        <f t="shared" si="7"/>
        <v>6.1407249466950873</v>
      </c>
      <c r="O15" s="205">
        <f t="shared" si="21"/>
        <v>5.8</v>
      </c>
      <c r="P15" s="356"/>
      <c r="Q15" s="341"/>
      <c r="R15" s="140"/>
      <c r="S15" s="140"/>
      <c r="T15" s="156" t="e">
        <f t="shared" si="9"/>
        <v>#REF!</v>
      </c>
      <c r="U15" s="157" t="e">
        <f t="shared" si="10"/>
        <v>#REF!</v>
      </c>
      <c r="V15" s="158" t="e">
        <f t="shared" si="11"/>
        <v>#REF!</v>
      </c>
      <c r="W15" s="310">
        <f t="shared" si="12"/>
        <v>844.85</v>
      </c>
      <c r="X15" s="311">
        <f t="shared" si="13"/>
        <v>618.1</v>
      </c>
      <c r="Y15" s="377">
        <f t="shared" si="14"/>
        <v>534.6</v>
      </c>
      <c r="Z15" s="375">
        <f t="shared" si="15"/>
        <v>507.65</v>
      </c>
      <c r="AA15" s="148"/>
      <c r="AB15" s="160">
        <f t="shared" si="16"/>
        <v>5.7692307692307692</v>
      </c>
      <c r="AC15" s="155">
        <f t="shared" si="20"/>
        <v>7.6923076923076925</v>
      </c>
      <c r="AD15" s="155">
        <f t="shared" si="17"/>
        <v>9.615384615384615</v>
      </c>
      <c r="AE15" s="155">
        <f t="shared" si="18"/>
        <v>11.538461538461538</v>
      </c>
      <c r="AF15" s="384">
        <f t="shared" si="19"/>
        <v>15.384615384615385</v>
      </c>
    </row>
    <row r="16" spans="1:32" ht="14" x14ac:dyDescent="0.2">
      <c r="A16" s="67"/>
      <c r="B16" s="343">
        <v>10</v>
      </c>
      <c r="C16" s="176">
        <v>6269</v>
      </c>
      <c r="D16" s="179" t="str">
        <f t="shared" si="0"/>
        <v>VITTORIA</v>
      </c>
      <c r="E16" s="344" t="e">
        <f t="shared" si="1"/>
        <v>#REF!</v>
      </c>
      <c r="F16" s="345">
        <v>5</v>
      </c>
      <c r="G16" s="346">
        <v>0.42774305555555553</v>
      </c>
      <c r="H16" s="347">
        <f t="shared" si="2"/>
        <v>2756.9999999999991</v>
      </c>
      <c r="I16" s="348">
        <f t="shared" si="3"/>
        <v>510.92054999999999</v>
      </c>
      <c r="J16" s="349"/>
      <c r="K16" s="350">
        <f t="shared" si="4"/>
        <v>304.58135999999922</v>
      </c>
      <c r="L16" s="351">
        <f t="shared" si="5"/>
        <v>3.4016361111110617E-3</v>
      </c>
      <c r="M16" s="352">
        <f t="shared" si="6"/>
        <v>61.229449999999119</v>
      </c>
      <c r="N16" s="353">
        <f t="shared" si="7"/>
        <v>6.267682263329708</v>
      </c>
      <c r="O16" s="352">
        <f t="shared" si="21"/>
        <v>4.5999999999999996</v>
      </c>
      <c r="P16" s="358"/>
      <c r="Q16" s="355"/>
      <c r="R16" s="140"/>
      <c r="S16" s="140"/>
      <c r="T16" s="156" t="e">
        <f t="shared" si="9"/>
        <v>#REF!</v>
      </c>
      <c r="U16" s="157" t="e">
        <f t="shared" si="10"/>
        <v>#REF!</v>
      </c>
      <c r="V16" s="158" t="e">
        <f t="shared" si="11"/>
        <v>#REF!</v>
      </c>
      <c r="W16" s="310">
        <f t="shared" si="12"/>
        <v>799.09199999999998</v>
      </c>
      <c r="X16" s="311">
        <f t="shared" si="13"/>
        <v>586.75919999999996</v>
      </c>
      <c r="Y16" s="377">
        <f t="shared" si="14"/>
        <v>510.92054999999999</v>
      </c>
      <c r="Z16" s="375">
        <f t="shared" si="15"/>
        <v>485.14949999999999</v>
      </c>
      <c r="AA16" s="148"/>
      <c r="AB16" s="160">
        <f t="shared" si="16"/>
        <v>4.615384615384615</v>
      </c>
      <c r="AC16" s="155">
        <f t="shared" si="20"/>
        <v>6.1538461538461542</v>
      </c>
      <c r="AD16" s="155">
        <f t="shared" si="17"/>
        <v>7.6923076923076925</v>
      </c>
      <c r="AE16" s="155">
        <f t="shared" si="18"/>
        <v>9.2307692307692299</v>
      </c>
      <c r="AF16" s="384">
        <f t="shared" si="19"/>
        <v>12.307692307692308</v>
      </c>
    </row>
    <row r="17" spans="1:32" ht="14" x14ac:dyDescent="0.2">
      <c r="A17" s="67"/>
      <c r="B17" s="323">
        <v>11</v>
      </c>
      <c r="C17" s="174">
        <v>312</v>
      </c>
      <c r="D17" s="182" t="str">
        <f t="shared" si="0"/>
        <v>はやとり</v>
      </c>
      <c r="E17" s="324" t="e">
        <f t="shared" si="1"/>
        <v>#REF!</v>
      </c>
      <c r="F17" s="325">
        <v>12</v>
      </c>
      <c r="G17" s="326">
        <v>0.4321875</v>
      </c>
      <c r="H17" s="174">
        <f t="shared" si="2"/>
        <v>3141.0000000000018</v>
      </c>
      <c r="I17" s="327">
        <f t="shared" si="3"/>
        <v>563.54999999999995</v>
      </c>
      <c r="J17" s="325"/>
      <c r="K17" s="328">
        <f t="shared" si="4"/>
        <v>435.96000000000231</v>
      </c>
      <c r="L17" s="326">
        <f t="shared" si="5"/>
        <v>4.9222222222222089E-3</v>
      </c>
      <c r="M17" s="199">
        <f t="shared" si="6"/>
        <v>88.599999999999767</v>
      </c>
      <c r="N17" s="329">
        <f t="shared" si="7"/>
        <v>5.501432664756444</v>
      </c>
      <c r="O17" s="199">
        <f t="shared" si="21"/>
        <v>3.5</v>
      </c>
      <c r="P17" s="359"/>
      <c r="Q17" s="331"/>
      <c r="R17" s="140"/>
      <c r="S17" s="140"/>
      <c r="T17" s="156" t="e">
        <f t="shared" si="9"/>
        <v>#REF!</v>
      </c>
      <c r="U17" s="157" t="e">
        <f t="shared" si="10"/>
        <v>#REF!</v>
      </c>
      <c r="V17" s="158" t="e">
        <f t="shared" si="11"/>
        <v>#REF!</v>
      </c>
      <c r="W17" s="310">
        <f t="shared" si="12"/>
        <v>896.25</v>
      </c>
      <c r="X17" s="311">
        <f t="shared" si="13"/>
        <v>650.25</v>
      </c>
      <c r="Y17" s="377">
        <f t="shared" si="14"/>
        <v>563.54999999999995</v>
      </c>
      <c r="Z17" s="375">
        <f t="shared" si="15"/>
        <v>541</v>
      </c>
      <c r="AA17" s="148"/>
      <c r="AB17" s="160">
        <f t="shared" si="16"/>
        <v>3.4615384615384617</v>
      </c>
      <c r="AC17" s="155">
        <f t="shared" si="20"/>
        <v>4.615384615384615</v>
      </c>
      <c r="AD17" s="155">
        <f t="shared" si="17"/>
        <v>5.7692307692307692</v>
      </c>
      <c r="AE17" s="155">
        <f t="shared" si="18"/>
        <v>6.9230769230769234</v>
      </c>
      <c r="AF17" s="384">
        <f t="shared" si="19"/>
        <v>9.2307692307692299</v>
      </c>
    </row>
    <row r="18" spans="1:32" ht="14" x14ac:dyDescent="0.2">
      <c r="A18" s="67"/>
      <c r="B18" s="332">
        <v>12</v>
      </c>
      <c r="C18" s="176">
        <v>4020</v>
      </c>
      <c r="D18" s="177" t="str">
        <f t="shared" si="0"/>
        <v>MELTEMI</v>
      </c>
      <c r="E18" s="333" t="e">
        <f t="shared" si="1"/>
        <v>#REF!</v>
      </c>
      <c r="F18" s="334">
        <v>13</v>
      </c>
      <c r="G18" s="335">
        <v>0.43337962962962961</v>
      </c>
      <c r="H18" s="176">
        <f t="shared" si="2"/>
        <v>3244.0000000000005</v>
      </c>
      <c r="I18" s="336">
        <f t="shared" si="3"/>
        <v>578.5</v>
      </c>
      <c r="J18" s="334"/>
      <c r="K18" s="337">
        <f t="shared" si="4"/>
        <v>467.20000000000073</v>
      </c>
      <c r="L18" s="335">
        <f t="shared" si="5"/>
        <v>5.2837962962962648E-3</v>
      </c>
      <c r="M18" s="205">
        <f t="shared" si="6"/>
        <v>95.108333333332766</v>
      </c>
      <c r="N18" s="338">
        <f t="shared" si="7"/>
        <v>5.3267570900123298</v>
      </c>
      <c r="O18" s="205">
        <f t="shared" si="21"/>
        <v>2.2999999999999998</v>
      </c>
      <c r="P18" s="356"/>
      <c r="Q18" s="341"/>
      <c r="R18" s="140"/>
      <c r="S18" s="140"/>
      <c r="T18" s="156" t="e">
        <f t="shared" si="9"/>
        <v>#REF!</v>
      </c>
      <c r="U18" s="157" t="e">
        <f t="shared" si="10"/>
        <v>#REF!</v>
      </c>
      <c r="V18" s="158" t="e">
        <f t="shared" si="11"/>
        <v>#REF!</v>
      </c>
      <c r="W18" s="310">
        <f t="shared" si="12"/>
        <v>886.2</v>
      </c>
      <c r="X18" s="311">
        <f t="shared" si="13"/>
        <v>661.15</v>
      </c>
      <c r="Y18" s="377">
        <f t="shared" si="14"/>
        <v>578.5</v>
      </c>
      <c r="Z18" s="375">
        <f t="shared" si="15"/>
        <v>555.15</v>
      </c>
      <c r="AA18" s="148"/>
      <c r="AB18" s="160">
        <f t="shared" si="16"/>
        <v>2.3076923076923075</v>
      </c>
      <c r="AC18" s="155">
        <f t="shared" si="20"/>
        <v>3.0769230769230771</v>
      </c>
      <c r="AD18" s="155">
        <f t="shared" si="17"/>
        <v>3.8461538461538463</v>
      </c>
      <c r="AE18" s="155">
        <f t="shared" si="18"/>
        <v>4.615384615384615</v>
      </c>
      <c r="AF18" s="384">
        <f t="shared" si="19"/>
        <v>6.1538461538461542</v>
      </c>
    </row>
    <row r="19" spans="1:32" ht="14" x14ac:dyDescent="0.2">
      <c r="A19" s="67"/>
      <c r="B19" s="332">
        <v>13</v>
      </c>
      <c r="C19" s="176">
        <v>2759</v>
      </c>
      <c r="D19" s="177" t="str">
        <f t="shared" si="0"/>
        <v>IXORA Ⅳ</v>
      </c>
      <c r="E19" s="333" t="e">
        <f t="shared" si="1"/>
        <v>#REF!</v>
      </c>
      <c r="F19" s="334">
        <v>11</v>
      </c>
      <c r="G19" s="335">
        <v>0.43113425925925924</v>
      </c>
      <c r="H19" s="176">
        <f t="shared" si="2"/>
        <v>3050.0000000000005</v>
      </c>
      <c r="I19" s="336">
        <f t="shared" si="3"/>
        <v>536.54999999999995</v>
      </c>
      <c r="J19" s="334"/>
      <c r="K19" s="337">
        <f t="shared" si="4"/>
        <v>474.56000000000085</v>
      </c>
      <c r="L19" s="335">
        <f t="shared" si="5"/>
        <v>5.3689814814814512E-3</v>
      </c>
      <c r="M19" s="205">
        <f t="shared" si="6"/>
        <v>96.641666666666126</v>
      </c>
      <c r="N19" s="338">
        <f t="shared" si="7"/>
        <v>5.6655737704918021</v>
      </c>
      <c r="O19" s="205">
        <f t="shared" si="21"/>
        <v>1.2</v>
      </c>
      <c r="P19" s="356"/>
      <c r="Q19" s="341"/>
      <c r="R19" s="140"/>
      <c r="S19" s="140"/>
      <c r="T19" s="156" t="e">
        <f t="shared" si="9"/>
        <v>#REF!</v>
      </c>
      <c r="U19" s="157" t="e">
        <f t="shared" si="10"/>
        <v>#REF!</v>
      </c>
      <c r="V19" s="158" t="e">
        <f t="shared" si="11"/>
        <v>#REF!</v>
      </c>
      <c r="W19" s="310">
        <f t="shared" si="12"/>
        <v>836.1</v>
      </c>
      <c r="X19" s="311">
        <f t="shared" si="13"/>
        <v>617.25</v>
      </c>
      <c r="Y19" s="377">
        <f t="shared" si="14"/>
        <v>536.54999999999995</v>
      </c>
      <c r="Z19" s="375">
        <f t="shared" si="15"/>
        <v>509.55</v>
      </c>
      <c r="AA19" s="148"/>
      <c r="AB19" s="160">
        <f t="shared" si="16"/>
        <v>1.1538461538461537</v>
      </c>
      <c r="AC19" s="155">
        <f t="shared" si="20"/>
        <v>1.5384615384615385</v>
      </c>
      <c r="AD19" s="155">
        <f t="shared" si="17"/>
        <v>1.9230769230769231</v>
      </c>
      <c r="AE19" s="155">
        <f t="shared" si="18"/>
        <v>2.3076923076923075</v>
      </c>
      <c r="AF19" s="384">
        <f t="shared" si="19"/>
        <v>3.0769230769230771</v>
      </c>
    </row>
    <row r="20" spans="1:32" ht="14" x14ac:dyDescent="0.2">
      <c r="A20" s="67"/>
      <c r="B20" s="332">
        <v>14</v>
      </c>
      <c r="C20" s="176"/>
      <c r="D20" s="177" t="str">
        <f t="shared" ref="D20:D31" si="22">IF(ISBLANK(C20),"",VLOOKUP(C20,第1月ＴＡ,2,FALSE))</f>
        <v/>
      </c>
      <c r="E20" s="333" t="str">
        <f t="shared" ref="E20:E23" si="23">IF($I$6="Ⅰ",T20,IF($I$6="Ⅱ",U20,IF($I$6="Ⅲ",V20,"")))</f>
        <v/>
      </c>
      <c r="F20" s="334"/>
      <c r="G20" s="335"/>
      <c r="H20" s="176" t="str">
        <f t="shared" ref="H20:H23" si="24">IFERROR(IF(G20-$Q$2&lt;=0,"",(G20-$Q$2)*86400),"")</f>
        <v/>
      </c>
      <c r="I20" s="336" t="str">
        <f t="shared" ref="I20:I31" si="25">IF($I$6="Ⅰ",W20,IF($I$6="Ⅱ",X20,IF($I$6="Ⅲ",Y20,IF($I$6="IV",Z20,""))))</f>
        <v/>
      </c>
      <c r="J20" s="334"/>
      <c r="K20" s="337" t="str">
        <f t="shared" ref="K20:K23" si="26">IFERROR(H20*(1+0.01*J20)-I20*$N$3,"")</f>
        <v/>
      </c>
      <c r="L20" s="335" t="str">
        <f t="shared" si="5"/>
        <v/>
      </c>
      <c r="M20" s="205" t="str">
        <f t="shared" si="6"/>
        <v/>
      </c>
      <c r="N20" s="338" t="str">
        <f t="shared" si="7"/>
        <v/>
      </c>
      <c r="O20" s="205"/>
      <c r="P20" s="359"/>
      <c r="Q20" s="341"/>
      <c r="R20" s="140"/>
      <c r="S20" s="140"/>
      <c r="T20" s="156" t="str">
        <f t="shared" si="9"/>
        <v/>
      </c>
      <c r="U20" s="157" t="str">
        <f t="shared" si="10"/>
        <v/>
      </c>
      <c r="V20" s="158" t="str">
        <f t="shared" si="11"/>
        <v/>
      </c>
      <c r="W20" s="310" t="str">
        <f t="shared" si="12"/>
        <v/>
      </c>
      <c r="X20" s="311" t="str">
        <f t="shared" si="13"/>
        <v/>
      </c>
      <c r="Y20" s="377" t="str">
        <f t="shared" si="14"/>
        <v/>
      </c>
      <c r="Z20" s="375" t="str">
        <f t="shared" si="15"/>
        <v/>
      </c>
      <c r="AA20" s="148"/>
      <c r="AB20" s="160">
        <f t="shared" si="16"/>
        <v>0</v>
      </c>
      <c r="AC20" s="155">
        <f t="shared" si="20"/>
        <v>0</v>
      </c>
      <c r="AD20" s="155">
        <f t="shared" si="17"/>
        <v>0</v>
      </c>
      <c r="AE20" s="155">
        <f t="shared" si="18"/>
        <v>0</v>
      </c>
      <c r="AF20" s="384">
        <f t="shared" si="19"/>
        <v>0</v>
      </c>
    </row>
    <row r="21" spans="1:32" ht="14" x14ac:dyDescent="0.2">
      <c r="A21" s="67"/>
      <c r="B21" s="343">
        <v>15</v>
      </c>
      <c r="C21" s="176"/>
      <c r="D21" s="179" t="str">
        <f t="shared" si="22"/>
        <v/>
      </c>
      <c r="E21" s="344" t="str">
        <f t="shared" si="23"/>
        <v/>
      </c>
      <c r="F21" s="345"/>
      <c r="G21" s="346"/>
      <c r="H21" s="347" t="str">
        <f t="shared" si="24"/>
        <v/>
      </c>
      <c r="I21" s="348" t="str">
        <f t="shared" si="25"/>
        <v/>
      </c>
      <c r="J21" s="349"/>
      <c r="K21" s="350" t="str">
        <f t="shared" si="26"/>
        <v/>
      </c>
      <c r="L21" s="351" t="str">
        <f t="shared" si="5"/>
        <v/>
      </c>
      <c r="M21" s="352" t="str">
        <f t="shared" si="6"/>
        <v/>
      </c>
      <c r="N21" s="353" t="str">
        <f t="shared" si="7"/>
        <v/>
      </c>
      <c r="O21" s="352"/>
      <c r="P21" s="358"/>
      <c r="Q21" s="355"/>
      <c r="R21" s="140"/>
      <c r="S21" s="140"/>
      <c r="T21" s="156" t="str">
        <f t="shared" si="9"/>
        <v/>
      </c>
      <c r="U21" s="157" t="str">
        <f t="shared" si="10"/>
        <v/>
      </c>
      <c r="V21" s="158" t="str">
        <f t="shared" si="11"/>
        <v/>
      </c>
      <c r="W21" s="310" t="str">
        <f t="shared" si="12"/>
        <v/>
      </c>
      <c r="X21" s="311" t="str">
        <f t="shared" si="13"/>
        <v/>
      </c>
      <c r="Y21" s="377" t="str">
        <f t="shared" si="14"/>
        <v/>
      </c>
      <c r="Z21" s="375" t="str">
        <f t="shared" si="15"/>
        <v/>
      </c>
      <c r="AA21" s="148"/>
      <c r="AB21" s="160">
        <f t="shared" si="16"/>
        <v>-1.1538461538461537</v>
      </c>
      <c r="AC21" s="155">
        <f t="shared" si="20"/>
        <v>-1.5384615384615385</v>
      </c>
      <c r="AD21" s="155">
        <f t="shared" si="17"/>
        <v>-1.9230769230769231</v>
      </c>
      <c r="AE21" s="155">
        <f t="shared" si="18"/>
        <v>-2.3076923076923075</v>
      </c>
      <c r="AF21" s="384">
        <f t="shared" si="19"/>
        <v>-3.0769230769230771</v>
      </c>
    </row>
    <row r="22" spans="1:32" ht="14" x14ac:dyDescent="0.2">
      <c r="A22" s="67"/>
      <c r="B22" s="360">
        <v>16</v>
      </c>
      <c r="C22" s="174">
        <v>380</v>
      </c>
      <c r="D22" s="182" t="str">
        <f t="shared" si="22"/>
        <v>テティス</v>
      </c>
      <c r="E22" s="324" t="e">
        <f t="shared" si="23"/>
        <v>#REF!</v>
      </c>
      <c r="F22" s="361"/>
      <c r="G22" s="326"/>
      <c r="H22" s="174" t="str">
        <f t="shared" si="24"/>
        <v/>
      </c>
      <c r="I22" s="327"/>
      <c r="J22" s="325"/>
      <c r="K22" s="328" t="str">
        <f t="shared" si="26"/>
        <v/>
      </c>
      <c r="L22" s="326" t="str">
        <f t="shared" si="5"/>
        <v/>
      </c>
      <c r="M22" s="199" t="str">
        <f t="shared" si="6"/>
        <v/>
      </c>
      <c r="N22" s="329" t="str">
        <f t="shared" si="7"/>
        <v/>
      </c>
      <c r="O22" s="199">
        <f>AVERAGE(O7:O19)</f>
        <v>8.0769230769230766</v>
      </c>
      <c r="P22" s="362" t="s">
        <v>326</v>
      </c>
      <c r="Q22" s="363"/>
      <c r="R22" s="140"/>
      <c r="S22" s="140"/>
      <c r="T22" s="156" t="e">
        <f t="shared" si="9"/>
        <v>#REF!</v>
      </c>
      <c r="U22" s="157" t="e">
        <f t="shared" si="10"/>
        <v>#REF!</v>
      </c>
      <c r="V22" s="158" t="e">
        <f t="shared" si="11"/>
        <v>#REF!</v>
      </c>
      <c r="W22" s="310">
        <f t="shared" si="12"/>
        <v>822.2</v>
      </c>
      <c r="X22" s="311">
        <f t="shared" si="13"/>
        <v>597.15</v>
      </c>
      <c r="Y22" s="377">
        <f t="shared" si="14"/>
        <v>520</v>
      </c>
      <c r="Z22" s="375">
        <f t="shared" si="15"/>
        <v>497.25</v>
      </c>
      <c r="AA22" s="148"/>
      <c r="AB22" s="160">
        <f t="shared" si="16"/>
        <v>-2.3076923076923075</v>
      </c>
      <c r="AC22" s="155">
        <f t="shared" si="20"/>
        <v>-3.0769230769230771</v>
      </c>
      <c r="AD22" s="155">
        <f t="shared" si="17"/>
        <v>-3.8461538461538463</v>
      </c>
      <c r="AE22" s="155">
        <f t="shared" si="18"/>
        <v>-4.615384615384615</v>
      </c>
      <c r="AF22" s="384">
        <f t="shared" si="19"/>
        <v>-6.1538461538461542</v>
      </c>
    </row>
    <row r="23" spans="1:32" ht="14" x14ac:dyDescent="0.2">
      <c r="A23" s="67"/>
      <c r="B23" s="332">
        <v>17</v>
      </c>
      <c r="C23" s="176"/>
      <c r="D23" s="177" t="str">
        <f t="shared" si="22"/>
        <v/>
      </c>
      <c r="E23" s="333" t="str">
        <f t="shared" si="23"/>
        <v/>
      </c>
      <c r="F23" s="334"/>
      <c r="G23" s="335"/>
      <c r="H23" s="176" t="str">
        <f t="shared" si="24"/>
        <v/>
      </c>
      <c r="I23" s="336" t="str">
        <f t="shared" si="25"/>
        <v/>
      </c>
      <c r="J23" s="334"/>
      <c r="K23" s="337" t="str">
        <f t="shared" si="26"/>
        <v/>
      </c>
      <c r="L23" s="335" t="str">
        <f t="shared" si="5"/>
        <v/>
      </c>
      <c r="M23" s="205" t="str">
        <f t="shared" si="6"/>
        <v/>
      </c>
      <c r="N23" s="338" t="str">
        <f t="shared" si="7"/>
        <v/>
      </c>
      <c r="O23" s="205"/>
      <c r="P23" s="356"/>
      <c r="Q23" s="341"/>
      <c r="R23" s="140"/>
      <c r="S23" s="140"/>
      <c r="T23" s="156" t="str">
        <f t="shared" si="9"/>
        <v/>
      </c>
      <c r="U23" s="157" t="str">
        <f t="shared" si="10"/>
        <v/>
      </c>
      <c r="V23" s="158" t="str">
        <f t="shared" si="11"/>
        <v/>
      </c>
      <c r="W23" s="310" t="str">
        <f t="shared" si="12"/>
        <v/>
      </c>
      <c r="X23" s="311" t="str">
        <f t="shared" si="13"/>
        <v/>
      </c>
      <c r="Y23" s="377" t="str">
        <f t="shared" si="14"/>
        <v/>
      </c>
      <c r="Z23" s="375" t="str">
        <f t="shared" si="15"/>
        <v/>
      </c>
      <c r="AA23" s="148"/>
      <c r="AB23" s="160">
        <f t="shared" si="16"/>
        <v>-3.4615384615384617</v>
      </c>
      <c r="AC23" s="155">
        <f t="shared" si="20"/>
        <v>-4.615384615384615</v>
      </c>
      <c r="AD23" s="155">
        <f t="shared" si="17"/>
        <v>-5.7692307692307692</v>
      </c>
      <c r="AE23" s="155">
        <f t="shared" si="18"/>
        <v>-6.9230769230769234</v>
      </c>
      <c r="AF23" s="384">
        <f t="shared" si="19"/>
        <v>-9.2307692307692299</v>
      </c>
    </row>
    <row r="24" spans="1:32" ht="14" x14ac:dyDescent="0.2">
      <c r="A24" s="67"/>
      <c r="B24" s="360">
        <v>18</v>
      </c>
      <c r="C24" s="176"/>
      <c r="D24" s="177" t="str">
        <f t="shared" si="22"/>
        <v/>
      </c>
      <c r="E24" s="333"/>
      <c r="F24" s="334"/>
      <c r="G24" s="335"/>
      <c r="H24" s="176"/>
      <c r="I24" s="336" t="str">
        <f t="shared" si="25"/>
        <v/>
      </c>
      <c r="J24" s="334"/>
      <c r="K24" s="337"/>
      <c r="L24" s="335"/>
      <c r="M24" s="205"/>
      <c r="N24" s="338"/>
      <c r="O24" s="205"/>
      <c r="P24" s="364"/>
      <c r="Q24" s="341"/>
      <c r="R24" s="140"/>
      <c r="S24" s="140"/>
      <c r="T24" s="156" t="str">
        <f t="shared" si="9"/>
        <v/>
      </c>
      <c r="U24" s="157" t="str">
        <f t="shared" si="10"/>
        <v/>
      </c>
      <c r="V24" s="158" t="str">
        <f t="shared" si="11"/>
        <v/>
      </c>
      <c r="W24" s="310" t="str">
        <f t="shared" si="12"/>
        <v/>
      </c>
      <c r="X24" s="311" t="str">
        <f t="shared" si="13"/>
        <v/>
      </c>
      <c r="Y24" s="377" t="str">
        <f t="shared" si="14"/>
        <v/>
      </c>
      <c r="Z24" s="375" t="str">
        <f t="shared" si="15"/>
        <v/>
      </c>
      <c r="AA24" s="148"/>
      <c r="AB24" s="160">
        <f t="shared" si="16"/>
        <v>-4.615384615384615</v>
      </c>
      <c r="AC24" s="155">
        <f t="shared" si="20"/>
        <v>-6.1538461538461542</v>
      </c>
      <c r="AD24" s="155">
        <f t="shared" si="17"/>
        <v>-7.6923076923076925</v>
      </c>
      <c r="AE24" s="155">
        <f t="shared" si="18"/>
        <v>-9.2307692307692299</v>
      </c>
      <c r="AF24" s="384">
        <f t="shared" si="19"/>
        <v>-12.307692307692308</v>
      </c>
    </row>
    <row r="25" spans="1:32" ht="14" x14ac:dyDescent="0.2">
      <c r="A25" s="67"/>
      <c r="B25" s="332">
        <v>19</v>
      </c>
      <c r="C25" s="176"/>
      <c r="D25" s="177" t="str">
        <f t="shared" si="22"/>
        <v/>
      </c>
      <c r="E25" s="333"/>
      <c r="F25" s="334"/>
      <c r="G25" s="335"/>
      <c r="H25" s="176"/>
      <c r="I25" s="336" t="str">
        <f t="shared" si="25"/>
        <v/>
      </c>
      <c r="J25" s="334"/>
      <c r="K25" s="337"/>
      <c r="L25" s="335"/>
      <c r="M25" s="205"/>
      <c r="N25" s="338"/>
      <c r="O25" s="205"/>
      <c r="P25" s="364"/>
      <c r="Q25" s="341"/>
      <c r="R25" s="140"/>
      <c r="S25" s="140"/>
      <c r="T25" s="156" t="str">
        <f t="shared" si="9"/>
        <v/>
      </c>
      <c r="U25" s="157" t="str">
        <f t="shared" si="10"/>
        <v/>
      </c>
      <c r="V25" s="158" t="str">
        <f t="shared" si="11"/>
        <v/>
      </c>
      <c r="W25" s="310" t="str">
        <f t="shared" si="12"/>
        <v/>
      </c>
      <c r="X25" s="311" t="str">
        <f t="shared" si="13"/>
        <v/>
      </c>
      <c r="Y25" s="377" t="str">
        <f t="shared" si="14"/>
        <v/>
      </c>
      <c r="Z25" s="375" t="str">
        <f t="shared" si="15"/>
        <v/>
      </c>
      <c r="AA25" s="148"/>
      <c r="AB25" s="160">
        <f t="shared" si="16"/>
        <v>-5.7692307692307692</v>
      </c>
      <c r="AC25" s="155">
        <f t="shared" si="20"/>
        <v>-7.6923076923076925</v>
      </c>
      <c r="AD25" s="155">
        <f t="shared" si="17"/>
        <v>-9.615384615384615</v>
      </c>
      <c r="AE25" s="155">
        <f t="shared" si="18"/>
        <v>-11.538461538461538</v>
      </c>
      <c r="AF25" s="384">
        <f t="shared" si="19"/>
        <v>-15.384615384615385</v>
      </c>
    </row>
    <row r="26" spans="1:32" ht="14" x14ac:dyDescent="0.2">
      <c r="A26" s="67"/>
      <c r="B26" s="343">
        <v>20</v>
      </c>
      <c r="C26" s="178"/>
      <c r="D26" s="179" t="str">
        <f t="shared" si="22"/>
        <v/>
      </c>
      <c r="E26" s="344"/>
      <c r="F26" s="345"/>
      <c r="G26" s="346"/>
      <c r="H26" s="347"/>
      <c r="I26" s="348" t="str">
        <f t="shared" si="25"/>
        <v/>
      </c>
      <c r="J26" s="349"/>
      <c r="K26" s="350"/>
      <c r="L26" s="351"/>
      <c r="M26" s="352"/>
      <c r="N26" s="353"/>
      <c r="O26" s="352"/>
      <c r="P26" s="365"/>
      <c r="Q26" s="355"/>
      <c r="R26" s="140"/>
      <c r="S26" s="140"/>
      <c r="T26" s="156" t="str">
        <f t="shared" si="9"/>
        <v/>
      </c>
      <c r="U26" s="157" t="str">
        <f t="shared" si="10"/>
        <v/>
      </c>
      <c r="V26" s="158" t="str">
        <f t="shared" si="11"/>
        <v/>
      </c>
      <c r="W26" s="310" t="str">
        <f t="shared" si="12"/>
        <v/>
      </c>
      <c r="X26" s="311" t="str">
        <f t="shared" si="13"/>
        <v/>
      </c>
      <c r="Y26" s="377" t="str">
        <f t="shared" si="14"/>
        <v/>
      </c>
      <c r="Z26" s="375" t="str">
        <f t="shared" si="15"/>
        <v/>
      </c>
      <c r="AA26" s="148"/>
      <c r="AB26" s="160">
        <f t="shared" si="16"/>
        <v>-6.9230769230769234</v>
      </c>
      <c r="AC26" s="155">
        <f t="shared" si="20"/>
        <v>-9.2307692307692299</v>
      </c>
      <c r="AD26" s="155">
        <f t="shared" si="17"/>
        <v>-11.538461538461538</v>
      </c>
      <c r="AE26" s="155">
        <f t="shared" si="18"/>
        <v>-13.846153846153847</v>
      </c>
      <c r="AF26" s="384">
        <f t="shared" si="19"/>
        <v>-18.46153846153846</v>
      </c>
    </row>
    <row r="27" spans="1:32" ht="14" x14ac:dyDescent="0.2">
      <c r="A27" s="67"/>
      <c r="B27" s="360"/>
      <c r="C27" s="180"/>
      <c r="D27" s="182" t="str">
        <f t="shared" si="22"/>
        <v/>
      </c>
      <c r="E27" s="361"/>
      <c r="F27" s="361"/>
      <c r="G27" s="366"/>
      <c r="H27" s="174" t="str">
        <f>IFERROR(IF(G27-$Q$2&lt;=0,"",(G27-$Q$2)*86400),"")</f>
        <v/>
      </c>
      <c r="I27" s="327" t="str">
        <f t="shared" si="25"/>
        <v/>
      </c>
      <c r="J27" s="325"/>
      <c r="K27" s="328" t="str">
        <f>IFERROR(H27*(1+0.01*J27)-I27*$N$3,"")</f>
        <v/>
      </c>
      <c r="L27" s="326" t="str">
        <f>IFERROR((K27-$K$7)/86400,"")</f>
        <v/>
      </c>
      <c r="M27" s="199" t="str">
        <f>IFERROR((K27-$K$7)/$N$3,"")</f>
        <v/>
      </c>
      <c r="N27" s="329" t="str">
        <f>IFERROR($N$3/(H27/3600),"")</f>
        <v/>
      </c>
      <c r="O27" s="199"/>
      <c r="P27" s="367"/>
      <c r="Q27" s="363"/>
      <c r="R27" s="140"/>
      <c r="S27" s="140"/>
      <c r="T27" s="156" t="str">
        <f t="shared" si="9"/>
        <v/>
      </c>
      <c r="U27" s="157" t="str">
        <f t="shared" si="10"/>
        <v/>
      </c>
      <c r="V27" s="158" t="str">
        <f t="shared" si="11"/>
        <v/>
      </c>
      <c r="W27" s="310" t="str">
        <f t="shared" si="12"/>
        <v/>
      </c>
      <c r="X27" s="311" t="str">
        <f t="shared" si="13"/>
        <v/>
      </c>
      <c r="Y27" s="377" t="str">
        <f t="shared" si="14"/>
        <v/>
      </c>
      <c r="Z27" s="375" t="str">
        <f t="shared" si="15"/>
        <v/>
      </c>
      <c r="AA27" s="148"/>
      <c r="AB27" s="160" t="str">
        <f t="shared" si="16"/>
        <v/>
      </c>
      <c r="AC27" s="155" t="str">
        <f t="shared" si="20"/>
        <v/>
      </c>
      <c r="AD27" s="155" t="str">
        <f t="shared" si="17"/>
        <v/>
      </c>
      <c r="AE27" s="380" t="str">
        <f t="shared" ref="AE27:AE31" si="27">IF(ISBLANK(C27),"",IFERROR(30*($P$3-$B27)/($P$3-1)+10,"30.0"))</f>
        <v/>
      </c>
      <c r="AF27" s="384" t="str">
        <f t="shared" si="19"/>
        <v/>
      </c>
    </row>
    <row r="28" spans="1:32" ht="14.25" customHeight="1" x14ac:dyDescent="0.2">
      <c r="A28" s="67"/>
      <c r="B28" s="332"/>
      <c r="C28" s="176"/>
      <c r="D28" s="177" t="str">
        <f t="shared" si="22"/>
        <v/>
      </c>
      <c r="E28" s="334"/>
      <c r="F28" s="334"/>
      <c r="G28" s="335"/>
      <c r="H28" s="176"/>
      <c r="I28" s="336" t="str">
        <f t="shared" si="25"/>
        <v/>
      </c>
      <c r="J28" s="334"/>
      <c r="K28" s="337"/>
      <c r="L28" s="335"/>
      <c r="M28" s="205"/>
      <c r="N28" s="338"/>
      <c r="O28" s="205"/>
      <c r="P28" s="368"/>
      <c r="Q28" s="341"/>
      <c r="R28" s="140"/>
      <c r="S28" s="140"/>
      <c r="T28" s="156" t="str">
        <f t="shared" si="9"/>
        <v/>
      </c>
      <c r="U28" s="157" t="str">
        <f t="shared" si="10"/>
        <v/>
      </c>
      <c r="V28" s="158" t="str">
        <f t="shared" si="11"/>
        <v/>
      </c>
      <c r="W28" s="310" t="str">
        <f t="shared" si="12"/>
        <v/>
      </c>
      <c r="X28" s="311" t="str">
        <f t="shared" si="13"/>
        <v/>
      </c>
      <c r="Y28" s="377" t="str">
        <f t="shared" si="14"/>
        <v/>
      </c>
      <c r="Z28" s="375" t="str">
        <f t="shared" si="15"/>
        <v/>
      </c>
      <c r="AA28" s="148"/>
      <c r="AB28" s="160" t="str">
        <f t="shared" si="16"/>
        <v/>
      </c>
      <c r="AC28" s="155" t="str">
        <f t="shared" si="20"/>
        <v/>
      </c>
      <c r="AD28" s="155" t="str">
        <f t="shared" si="17"/>
        <v/>
      </c>
      <c r="AE28" s="380" t="str">
        <f t="shared" si="27"/>
        <v/>
      </c>
      <c r="AF28" s="384" t="str">
        <f t="shared" si="19"/>
        <v/>
      </c>
    </row>
    <row r="29" spans="1:32" ht="14" x14ac:dyDescent="0.2">
      <c r="A29" s="67"/>
      <c r="B29" s="332"/>
      <c r="C29" s="176"/>
      <c r="D29" s="177" t="str">
        <f t="shared" si="22"/>
        <v/>
      </c>
      <c r="E29" s="334"/>
      <c r="F29" s="334"/>
      <c r="G29" s="335"/>
      <c r="H29" s="176"/>
      <c r="I29" s="336" t="str">
        <f t="shared" si="25"/>
        <v/>
      </c>
      <c r="J29" s="334"/>
      <c r="K29" s="337"/>
      <c r="L29" s="335"/>
      <c r="M29" s="205"/>
      <c r="N29" s="338"/>
      <c r="O29" s="205"/>
      <c r="P29" s="364"/>
      <c r="Q29" s="341"/>
      <c r="R29" s="140"/>
      <c r="S29" s="140"/>
      <c r="T29" s="156" t="str">
        <f t="shared" si="9"/>
        <v/>
      </c>
      <c r="U29" s="157" t="str">
        <f t="shared" si="10"/>
        <v/>
      </c>
      <c r="V29" s="158" t="str">
        <f t="shared" si="11"/>
        <v/>
      </c>
      <c r="W29" s="310" t="str">
        <f t="shared" si="12"/>
        <v/>
      </c>
      <c r="X29" s="311" t="str">
        <f t="shared" si="13"/>
        <v/>
      </c>
      <c r="Y29" s="377" t="str">
        <f t="shared" si="14"/>
        <v/>
      </c>
      <c r="Z29" s="375" t="str">
        <f t="shared" si="15"/>
        <v/>
      </c>
      <c r="AA29" s="148"/>
      <c r="AB29" s="160" t="str">
        <f t="shared" si="16"/>
        <v/>
      </c>
      <c r="AC29" s="155" t="str">
        <f t="shared" si="20"/>
        <v/>
      </c>
      <c r="AD29" s="155" t="str">
        <f t="shared" si="17"/>
        <v/>
      </c>
      <c r="AE29" s="380" t="str">
        <f t="shared" si="27"/>
        <v/>
      </c>
      <c r="AF29" s="384" t="str">
        <f t="shared" si="19"/>
        <v/>
      </c>
    </row>
    <row r="30" spans="1:32" ht="14.25" customHeight="1" x14ac:dyDescent="0.2">
      <c r="A30" s="67"/>
      <c r="B30" s="332"/>
      <c r="C30" s="176"/>
      <c r="D30" s="177" t="str">
        <f t="shared" si="22"/>
        <v/>
      </c>
      <c r="E30" s="334"/>
      <c r="F30" s="334"/>
      <c r="G30" s="335"/>
      <c r="H30" s="176"/>
      <c r="I30" s="336" t="str">
        <f t="shared" si="25"/>
        <v/>
      </c>
      <c r="J30" s="334"/>
      <c r="K30" s="337"/>
      <c r="L30" s="335"/>
      <c r="M30" s="205"/>
      <c r="N30" s="338"/>
      <c r="O30" s="205"/>
      <c r="P30" s="364"/>
      <c r="Q30" s="341"/>
      <c r="R30" s="140"/>
      <c r="S30" s="140"/>
      <c r="T30" s="156" t="str">
        <f t="shared" si="9"/>
        <v/>
      </c>
      <c r="U30" s="157" t="str">
        <f t="shared" si="10"/>
        <v/>
      </c>
      <c r="V30" s="158" t="str">
        <f t="shared" si="11"/>
        <v/>
      </c>
      <c r="W30" s="310" t="str">
        <f t="shared" si="12"/>
        <v/>
      </c>
      <c r="X30" s="311" t="str">
        <f t="shared" si="13"/>
        <v/>
      </c>
      <c r="Y30" s="377" t="str">
        <f t="shared" si="14"/>
        <v/>
      </c>
      <c r="Z30" s="375" t="str">
        <f t="shared" si="15"/>
        <v/>
      </c>
      <c r="AA30" s="148"/>
      <c r="AB30" s="160" t="str">
        <f t="shared" si="16"/>
        <v/>
      </c>
      <c r="AC30" s="155" t="str">
        <f t="shared" si="20"/>
        <v/>
      </c>
      <c r="AD30" s="155" t="str">
        <f t="shared" si="17"/>
        <v/>
      </c>
      <c r="AE30" s="380" t="str">
        <f t="shared" si="27"/>
        <v/>
      </c>
      <c r="AF30" s="384" t="str">
        <f t="shared" si="19"/>
        <v/>
      </c>
    </row>
    <row r="31" spans="1:32" ht="14.5" thickBot="1" x14ac:dyDescent="0.25">
      <c r="A31" s="67"/>
      <c r="B31" s="332"/>
      <c r="C31" s="176"/>
      <c r="D31" s="179" t="str">
        <f t="shared" si="22"/>
        <v/>
      </c>
      <c r="E31" s="345"/>
      <c r="F31" s="334"/>
      <c r="G31" s="335"/>
      <c r="H31" s="178" t="str">
        <f>IFERROR(IF(G31-$Q$2&lt;=0,"",(G31-$Q$2)*86400),"")</f>
        <v/>
      </c>
      <c r="I31" s="369" t="str">
        <f t="shared" si="25"/>
        <v/>
      </c>
      <c r="J31" s="345"/>
      <c r="K31" s="370" t="str">
        <f>IFERROR(H31*(1+0.01*J31)-I31*$N$3,"")</f>
        <v/>
      </c>
      <c r="L31" s="346" t="str">
        <f>IFERROR((K31-$K$7)/86400,"")</f>
        <v/>
      </c>
      <c r="M31" s="214" t="str">
        <f>IFERROR((K31-$K$7)/$N$3,"")</f>
        <v/>
      </c>
      <c r="N31" s="371" t="str">
        <f>IFERROR($N$3/(H31/3600),"")</f>
        <v/>
      </c>
      <c r="O31" s="352"/>
      <c r="P31" s="365"/>
      <c r="Q31" s="355"/>
      <c r="R31" s="140"/>
      <c r="S31" s="140"/>
      <c r="T31" s="161" t="str">
        <f t="shared" si="9"/>
        <v/>
      </c>
      <c r="U31" s="162" t="str">
        <f t="shared" si="10"/>
        <v/>
      </c>
      <c r="V31" s="163" t="str">
        <f t="shared" si="11"/>
        <v/>
      </c>
      <c r="W31" s="312" t="str">
        <f t="shared" si="12"/>
        <v/>
      </c>
      <c r="X31" s="372" t="str">
        <f t="shared" si="13"/>
        <v/>
      </c>
      <c r="Y31" s="372" t="str">
        <f t="shared" si="14"/>
        <v/>
      </c>
      <c r="Z31" s="376" t="str">
        <f t="shared" si="15"/>
        <v/>
      </c>
      <c r="AA31" s="148"/>
      <c r="AB31" s="385" t="str">
        <f t="shared" si="16"/>
        <v/>
      </c>
      <c r="AC31" s="386" t="str">
        <f t="shared" si="20"/>
        <v/>
      </c>
      <c r="AD31" s="386" t="str">
        <f t="shared" si="17"/>
        <v/>
      </c>
      <c r="AE31" s="381" t="str">
        <f t="shared" si="27"/>
        <v/>
      </c>
      <c r="AF31" s="387" t="str">
        <f t="shared" si="19"/>
        <v/>
      </c>
    </row>
    <row r="32" spans="1:32" ht="15" customHeight="1" x14ac:dyDescent="0.25">
      <c r="A32" s="67"/>
      <c r="B32" s="568" t="s">
        <v>179</v>
      </c>
      <c r="C32" s="569"/>
      <c r="D32" s="570"/>
      <c r="E32" s="137" t="s">
        <v>137</v>
      </c>
      <c r="F32" s="577" t="s">
        <v>324</v>
      </c>
      <c r="G32" s="578"/>
      <c r="H32" s="579" t="s">
        <v>339</v>
      </c>
      <c r="I32" s="580"/>
      <c r="J32" s="580"/>
      <c r="K32" s="580"/>
      <c r="L32" s="580"/>
      <c r="M32" s="580"/>
      <c r="N32" s="580"/>
      <c r="O32" s="580"/>
      <c r="P32" s="580"/>
      <c r="Q32" s="581"/>
      <c r="R32" s="262"/>
      <c r="S32" s="59"/>
      <c r="T32" s="143"/>
      <c r="U32" s="143"/>
      <c r="V32" s="143"/>
      <c r="Y32" s="143"/>
      <c r="Z32" s="143"/>
      <c r="AA32" s="143"/>
    </row>
    <row r="33" spans="1:32" ht="15" customHeight="1" x14ac:dyDescent="0.25">
      <c r="A33" s="67"/>
      <c r="B33" s="571"/>
      <c r="C33" s="572"/>
      <c r="D33" s="573"/>
      <c r="E33" s="138" t="s">
        <v>138</v>
      </c>
      <c r="F33" s="588" t="s">
        <v>325</v>
      </c>
      <c r="G33" s="589"/>
      <c r="H33" s="582"/>
      <c r="I33" s="583"/>
      <c r="J33" s="583"/>
      <c r="K33" s="583"/>
      <c r="L33" s="583"/>
      <c r="M33" s="583"/>
      <c r="N33" s="583"/>
      <c r="O33" s="583"/>
      <c r="P33" s="583"/>
      <c r="Q33" s="584"/>
      <c r="R33" s="262"/>
      <c r="S33" s="59"/>
      <c r="T33" s="143"/>
      <c r="U33" s="143"/>
      <c r="V33" s="143"/>
      <c r="Y33" s="143"/>
      <c r="Z33" s="143"/>
      <c r="AA33" s="143"/>
      <c r="AB33" s="454" t="s">
        <v>270</v>
      </c>
      <c r="AC33" s="454"/>
      <c r="AD33" s="454"/>
      <c r="AE33" s="454"/>
      <c r="AF33" s="454"/>
    </row>
    <row r="34" spans="1:32" ht="23.25" customHeight="1" x14ac:dyDescent="0.25">
      <c r="A34" s="67"/>
      <c r="B34" s="574"/>
      <c r="C34" s="575"/>
      <c r="D34" s="576"/>
      <c r="E34" s="138" t="s">
        <v>139</v>
      </c>
      <c r="F34" s="560"/>
      <c r="G34" s="561"/>
      <c r="H34" s="582"/>
      <c r="I34" s="583"/>
      <c r="J34" s="583"/>
      <c r="K34" s="583"/>
      <c r="L34" s="583"/>
      <c r="M34" s="583"/>
      <c r="N34" s="583"/>
      <c r="O34" s="583"/>
      <c r="P34" s="583"/>
      <c r="Q34" s="584"/>
      <c r="R34" s="262"/>
      <c r="S34" s="59"/>
      <c r="T34" s="143"/>
      <c r="U34" s="143"/>
      <c r="V34" s="143"/>
      <c r="Y34" s="143"/>
      <c r="Z34" s="143"/>
      <c r="AA34" s="143"/>
    </row>
    <row r="35" spans="1:32" ht="22.5" customHeight="1" x14ac:dyDescent="0.25">
      <c r="A35" s="67"/>
      <c r="B35" s="590" t="s">
        <v>177</v>
      </c>
      <c r="C35" s="591"/>
      <c r="D35" s="592"/>
      <c r="E35" s="562" t="s">
        <v>141</v>
      </c>
      <c r="F35" s="560" t="str">
        <f>参照ﾃﾞｰﾀ!AB4</f>
        <v>テティス</v>
      </c>
      <c r="G35" s="561"/>
      <c r="H35" s="582"/>
      <c r="I35" s="583"/>
      <c r="J35" s="583"/>
      <c r="K35" s="583"/>
      <c r="L35" s="583"/>
      <c r="M35" s="583"/>
      <c r="N35" s="583"/>
      <c r="O35" s="583"/>
      <c r="P35" s="583"/>
      <c r="Q35" s="584"/>
      <c r="R35" s="262"/>
      <c r="S35" s="59"/>
      <c r="T35" s="143"/>
      <c r="U35" s="143"/>
      <c r="V35" s="143"/>
      <c r="Y35" s="143"/>
      <c r="Z35" s="143"/>
      <c r="AA35" s="143"/>
    </row>
    <row r="36" spans="1:32" ht="15" customHeight="1" x14ac:dyDescent="0.25">
      <c r="A36" s="67"/>
      <c r="B36" s="593"/>
      <c r="C36" s="594"/>
      <c r="D36" s="595"/>
      <c r="E36" s="601"/>
      <c r="F36" s="560"/>
      <c r="G36" s="561"/>
      <c r="H36" s="582"/>
      <c r="I36" s="583"/>
      <c r="J36" s="583"/>
      <c r="K36" s="583"/>
      <c r="L36" s="583"/>
      <c r="M36" s="583"/>
      <c r="N36" s="583"/>
      <c r="O36" s="583"/>
      <c r="P36" s="583"/>
      <c r="Q36" s="584"/>
      <c r="R36" s="262"/>
      <c r="S36" s="59"/>
      <c r="T36" s="143"/>
      <c r="U36" s="143"/>
      <c r="V36" s="143"/>
      <c r="Y36" s="143"/>
      <c r="Z36" s="143"/>
      <c r="AA36" s="143"/>
    </row>
    <row r="37" spans="1:32" ht="15" customHeight="1" x14ac:dyDescent="0.25">
      <c r="A37" s="67"/>
      <c r="B37" s="593"/>
      <c r="C37" s="594"/>
      <c r="D37" s="595"/>
      <c r="E37" s="137" t="s">
        <v>140</v>
      </c>
      <c r="F37" s="558">
        <f>参照ﾃﾞｰﾀ!J5</f>
        <v>46068</v>
      </c>
      <c r="G37" s="559"/>
      <c r="H37" s="582"/>
      <c r="I37" s="583"/>
      <c r="J37" s="583"/>
      <c r="K37" s="583"/>
      <c r="L37" s="583"/>
      <c r="M37" s="583"/>
      <c r="N37" s="583"/>
      <c r="O37" s="583"/>
      <c r="P37" s="583"/>
      <c r="Q37" s="584"/>
      <c r="R37" s="262"/>
      <c r="S37" s="59"/>
      <c r="T37" s="143"/>
      <c r="U37" s="143"/>
      <c r="V37" s="143"/>
      <c r="Y37" s="143"/>
      <c r="Z37" s="143"/>
      <c r="AA37" s="143"/>
    </row>
    <row r="38" spans="1:32" ht="15" customHeight="1" x14ac:dyDescent="0.25">
      <c r="A38" s="67"/>
      <c r="B38" s="593"/>
      <c r="C38" s="594"/>
      <c r="D38" s="595"/>
      <c r="E38" s="138" t="s">
        <v>153</v>
      </c>
      <c r="F38" s="560" t="str">
        <f>参照ﾃﾞｰﾀ!AA5</f>
        <v>E</v>
      </c>
      <c r="G38" s="561"/>
      <c r="H38" s="582"/>
      <c r="I38" s="583"/>
      <c r="J38" s="583"/>
      <c r="K38" s="583"/>
      <c r="L38" s="583"/>
      <c r="M38" s="583"/>
      <c r="N38" s="583"/>
      <c r="O38" s="583"/>
      <c r="P38" s="583"/>
      <c r="Q38" s="584"/>
      <c r="R38" s="262"/>
      <c r="S38" s="59"/>
      <c r="T38" s="143"/>
      <c r="U38" s="143"/>
      <c r="V38" s="143"/>
      <c r="Y38" s="143"/>
      <c r="Z38" s="143"/>
      <c r="AA38" s="143"/>
    </row>
    <row r="39" spans="1:32" ht="15" customHeight="1" x14ac:dyDescent="0.25">
      <c r="A39" s="67"/>
      <c r="B39" s="593"/>
      <c r="C39" s="594"/>
      <c r="D39" s="595"/>
      <c r="E39" s="562" t="s">
        <v>141</v>
      </c>
      <c r="F39" s="560" t="str">
        <f>参照ﾃﾞｰﾀ!AB5</f>
        <v>はやとり</v>
      </c>
      <c r="G39" s="561"/>
      <c r="H39" s="582"/>
      <c r="I39" s="583"/>
      <c r="J39" s="583"/>
      <c r="K39" s="583"/>
      <c r="L39" s="583"/>
      <c r="M39" s="583"/>
      <c r="N39" s="583"/>
      <c r="O39" s="583"/>
      <c r="P39" s="583"/>
      <c r="Q39" s="584"/>
      <c r="R39" s="262"/>
      <c r="S39" s="59"/>
      <c r="T39" s="143"/>
      <c r="U39" s="143"/>
      <c r="V39" s="143"/>
      <c r="Y39" s="143"/>
      <c r="Z39" s="143"/>
      <c r="AA39" s="143"/>
    </row>
    <row r="40" spans="1:32" ht="15" customHeight="1" x14ac:dyDescent="0.25">
      <c r="A40" s="67"/>
      <c r="B40" s="593"/>
      <c r="C40" s="594"/>
      <c r="D40" s="595"/>
      <c r="E40" s="562"/>
      <c r="F40" s="560"/>
      <c r="G40" s="561"/>
      <c r="H40" s="582"/>
      <c r="I40" s="583"/>
      <c r="J40" s="583"/>
      <c r="K40" s="583"/>
      <c r="L40" s="583"/>
      <c r="M40" s="583"/>
      <c r="N40" s="583"/>
      <c r="O40" s="583"/>
      <c r="P40" s="583"/>
      <c r="Q40" s="584"/>
      <c r="R40" s="262"/>
      <c r="S40" s="59"/>
      <c r="T40" s="143"/>
      <c r="U40" s="143"/>
      <c r="V40" s="143"/>
      <c r="Y40" s="143"/>
      <c r="Z40" s="143"/>
      <c r="AA40" s="143"/>
    </row>
    <row r="41" spans="1:32" ht="11.25" customHeight="1" thickBot="1" x14ac:dyDescent="0.3">
      <c r="A41" s="67"/>
      <c r="B41" s="596"/>
      <c r="C41" s="597"/>
      <c r="D41" s="598"/>
      <c r="E41" s="139"/>
      <c r="F41" s="599"/>
      <c r="G41" s="600"/>
      <c r="H41" s="585"/>
      <c r="I41" s="586"/>
      <c r="J41" s="586"/>
      <c r="K41" s="586"/>
      <c r="L41" s="586"/>
      <c r="M41" s="586"/>
      <c r="N41" s="586"/>
      <c r="O41" s="586"/>
      <c r="P41" s="586"/>
      <c r="Q41" s="587"/>
      <c r="R41" s="262"/>
      <c r="S41" s="59"/>
      <c r="T41" s="143"/>
      <c r="U41" s="143"/>
      <c r="V41" s="143"/>
      <c r="W41" s="143"/>
      <c r="X41" s="143"/>
      <c r="Y41" s="143"/>
      <c r="Z41" s="143"/>
      <c r="AA41" s="143"/>
    </row>
    <row r="42" spans="1:32" x14ac:dyDescent="0.2">
      <c r="A42" s="67"/>
      <c r="B42" s="67"/>
      <c r="C42" s="67"/>
      <c r="D42" s="67"/>
      <c r="E42" s="67"/>
      <c r="F42" s="67"/>
      <c r="G42" s="67"/>
      <c r="H42" s="67"/>
      <c r="I42" s="67"/>
      <c r="J42" s="67"/>
      <c r="K42" s="67"/>
      <c r="L42" s="67"/>
      <c r="M42" s="67"/>
      <c r="N42" s="67"/>
      <c r="O42" s="67"/>
      <c r="P42" s="67"/>
      <c r="Q42" s="67"/>
      <c r="R42" s="67"/>
      <c r="S42" s="67"/>
    </row>
  </sheetData>
  <sheetProtection algorithmName="SHA-512" hashValue="lpptLB868YDNEAwKs/kbaVBPLNfwcFZmKXDvPVPTIGC1zzvpbTKG5m6lGw5kh9QJjBEX0/F4O+ROR5py53/TzA==" saltValue="OvAXrxeYWNQXZtx05vNgoA==" spinCount="100000" sheet="1" objects="1" scenarios="1"/>
  <sortState xmlns:xlrd2="http://schemas.microsoft.com/office/spreadsheetml/2017/richdata2" ref="C7:K19">
    <sortCondition ref="K7:K19"/>
  </sortState>
  <mergeCells count="19">
    <mergeCell ref="J3:K3"/>
    <mergeCell ref="P5:Q5"/>
    <mergeCell ref="B32:D34"/>
    <mergeCell ref="F32:G32"/>
    <mergeCell ref="H32:Q41"/>
    <mergeCell ref="F33:G33"/>
    <mergeCell ref="F34:G34"/>
    <mergeCell ref="B35:D41"/>
    <mergeCell ref="F40:G40"/>
    <mergeCell ref="F41:G41"/>
    <mergeCell ref="E35:E36"/>
    <mergeCell ref="F35:G35"/>
    <mergeCell ref="F36:G36"/>
    <mergeCell ref="F37:G37"/>
    <mergeCell ref="F38:G38"/>
    <mergeCell ref="F39:G39"/>
    <mergeCell ref="E39:E40"/>
    <mergeCell ref="D2:F2"/>
    <mergeCell ref="E3:I3"/>
  </mergeCells>
  <phoneticPr fontId="40"/>
  <dataValidations count="9">
    <dataValidation type="list" allowBlank="1" showInputMessage="1" showErrorMessage="1" sqref="P2 F37:G37" xr:uid="{00000000-0002-0000-0000-000000000000}">
      <formula1>開催日</formula1>
    </dataValidation>
    <dataValidation type="list" allowBlank="1" showInputMessage="1" showErrorMessage="1" sqref="Q2:R2" xr:uid="{00000000-0002-0000-0000-000001000000}">
      <formula1>時刻</formula1>
    </dataValidation>
    <dataValidation type="list" allowBlank="1" showInputMessage="1" showErrorMessage="1" sqref="J3:K3" xr:uid="{00000000-0002-0000-0000-000002000000}">
      <formula1>暫定</formula1>
    </dataValidation>
    <dataValidation type="list" allowBlank="1" showInputMessage="1" showErrorMessage="1" sqref="G2" xr:uid="{00000000-0002-0000-0000-000003000000}">
      <formula1>月</formula1>
    </dataValidation>
    <dataValidation type="list" allowBlank="1" showInputMessage="1" showErrorMessage="1" sqref="N2 F38:G38" xr:uid="{00000000-0002-0000-0000-000004000000}">
      <formula1>コース</formula1>
    </dataValidation>
    <dataValidation type="list" showInputMessage="1" showErrorMessage="1" sqref="E3" xr:uid="{00000000-0002-0000-0000-000005000000}">
      <formula1>レース名</formula1>
    </dataValidation>
    <dataValidation type="list" allowBlank="1" showInputMessage="1" showErrorMessage="1" sqref="I6" xr:uid="{00000000-0002-0000-0000-000006000000}">
      <formula1>ＴＡ</formula1>
    </dataValidation>
    <dataValidation type="list" allowBlank="1" showInputMessage="1" showErrorMessage="1" sqref="D3" xr:uid="{00000000-0002-0000-0000-000007000000}">
      <formula1>レース番号</formula1>
    </dataValidation>
    <dataValidation type="list" allowBlank="1" showInputMessage="1" showErrorMessage="1" sqref="O6" xr:uid="{0DE34818-A16B-4D23-9289-2393AA91136F}">
      <formula1>$AB$6:$AF$6</formula1>
    </dataValidation>
  </dataValidations>
  <pageMargins left="0.31496062992125984" right="0" top="0.35433070866141736" bottom="0.19685039370078741" header="0" footer="0"/>
  <pageSetup paperSize="9" scale="97"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B50"/>
  <sheetViews>
    <sheetView tabSelected="1" topLeftCell="I1" zoomScaleNormal="100" workbookViewId="0">
      <selection activeCell="V27" sqref="V27"/>
    </sheetView>
  </sheetViews>
  <sheetFormatPr defaultRowHeight="13" x14ac:dyDescent="0.2"/>
  <cols>
    <col min="1" max="1" width="1.90625" customWidth="1"/>
    <col min="2" max="2" width="4.26953125" customWidth="1"/>
    <col min="3" max="3" width="6.08984375" customWidth="1"/>
    <col min="4" max="4" width="11.90625" customWidth="1"/>
    <col min="5" max="5" width="8.7265625" customWidth="1"/>
    <col min="6" max="6" width="8.90625" customWidth="1"/>
    <col min="7" max="8" width="8.7265625" customWidth="1"/>
    <col min="9" max="9" width="3.7265625" style="14" bestFit="1" customWidth="1"/>
    <col min="10" max="10" width="3.7265625" customWidth="1"/>
    <col min="11" max="11" width="4.26953125" customWidth="1"/>
    <col min="12" max="12" width="6.08984375" customWidth="1"/>
    <col min="13" max="13" width="11.90625" customWidth="1"/>
    <col min="14" max="14" width="8.7265625" customWidth="1"/>
    <col min="15" max="15" width="8.90625" customWidth="1"/>
    <col min="16" max="17" width="8.7265625" customWidth="1"/>
    <col min="18" max="18" width="3.7265625" bestFit="1" customWidth="1"/>
    <col min="19" max="19" width="3.7265625" customWidth="1"/>
    <col min="20" max="20" width="4.26953125" customWidth="1"/>
    <col min="21" max="21" width="6.08984375" customWidth="1"/>
    <col min="22" max="22" width="11.90625" customWidth="1"/>
    <col min="23" max="23" width="8.7265625" customWidth="1"/>
    <col min="24" max="25" width="8.90625" customWidth="1"/>
    <col min="26" max="26" width="8.7265625" customWidth="1"/>
    <col min="27" max="27" width="3.7265625" bestFit="1" customWidth="1"/>
    <col min="28" max="28" width="3.7265625" customWidth="1"/>
    <col min="29" max="29" width="4.26953125" customWidth="1"/>
    <col min="30" max="30" width="6.08984375" customWidth="1"/>
    <col min="31" max="31" width="11.90625" customWidth="1"/>
    <col min="32" max="32" width="8.7265625" customWidth="1"/>
    <col min="33" max="33" width="8.90625" customWidth="1"/>
    <col min="34" max="35" width="8.7265625" customWidth="1"/>
    <col min="36" max="36" width="3.7265625" bestFit="1" customWidth="1"/>
    <col min="37" max="37" width="3.7265625" customWidth="1"/>
    <col min="38" max="38" width="4.26953125" customWidth="1"/>
    <col min="39" max="39" width="6.08984375" customWidth="1"/>
    <col min="40" max="40" width="11.90625" customWidth="1"/>
    <col min="41" max="41" width="8.7265625" customWidth="1"/>
    <col min="42" max="42" width="8.90625" customWidth="1"/>
    <col min="43" max="44" width="8.7265625" customWidth="1"/>
    <col min="45" max="45" width="3.7265625" bestFit="1" customWidth="1"/>
    <col min="46" max="46" width="3.7265625" customWidth="1"/>
    <col min="47" max="47" width="4.26953125" customWidth="1"/>
    <col min="48" max="48" width="6.08984375" customWidth="1"/>
    <col min="49" max="49" width="11.90625" customWidth="1"/>
    <col min="50" max="50" width="8.7265625" customWidth="1"/>
    <col min="51" max="51" width="8.90625" customWidth="1"/>
    <col min="52" max="53" width="8.7265625" customWidth="1"/>
    <col min="54" max="54" width="3.7265625" bestFit="1" customWidth="1"/>
    <col min="55" max="55" width="5.90625" customWidth="1"/>
  </cols>
  <sheetData>
    <row r="1" spans="2:54" ht="19" x14ac:dyDescent="0.3">
      <c r="C1" s="280" t="s">
        <v>222</v>
      </c>
      <c r="L1" s="280" t="s">
        <v>222</v>
      </c>
      <c r="U1" s="280" t="s">
        <v>222</v>
      </c>
      <c r="AD1" s="280" t="s">
        <v>222</v>
      </c>
      <c r="AM1" s="280" t="s">
        <v>222</v>
      </c>
      <c r="AV1" s="280" t="s">
        <v>222</v>
      </c>
    </row>
    <row r="2" spans="2:54" ht="8.25" customHeight="1" x14ac:dyDescent="0.2"/>
    <row r="3" spans="2:54" ht="18" customHeight="1" thickBot="1" x14ac:dyDescent="0.35">
      <c r="B3" s="638" t="str">
        <f>参照ﾃﾞｰﾀ!F4</f>
        <v>2026年</v>
      </c>
      <c r="C3" s="638"/>
      <c r="D3" s="309" t="str">
        <f>参照ﾃﾞｰﾀ!H4</f>
        <v>1月</v>
      </c>
      <c r="E3" s="309"/>
      <c r="F3" s="280"/>
      <c r="H3" s="281"/>
      <c r="I3" s="281" t="s">
        <v>274</v>
      </c>
      <c r="K3" s="638" t="str">
        <f>参照ﾃﾞｰﾀ!F4</f>
        <v>2026年</v>
      </c>
      <c r="L3" s="638"/>
      <c r="M3" s="309" t="str">
        <f>参照ﾃﾞｰﾀ!H5</f>
        <v>2月</v>
      </c>
      <c r="N3" s="309"/>
      <c r="O3" s="280"/>
      <c r="P3" s="281"/>
      <c r="Q3" s="557"/>
      <c r="R3" s="557" t="s">
        <v>344</v>
      </c>
      <c r="T3" s="638" t="str">
        <f>参照ﾃﾞｰﾀ!F4</f>
        <v>2026年</v>
      </c>
      <c r="U3" s="638"/>
      <c r="V3" s="309" t="str">
        <f>参照ﾃﾞｰﾀ!H6</f>
        <v>3月</v>
      </c>
      <c r="W3" s="309"/>
      <c r="X3" s="280"/>
      <c r="Y3" s="280"/>
      <c r="Z3" s="281"/>
      <c r="AA3" s="281" t="s">
        <v>343</v>
      </c>
      <c r="AC3" s="638" t="str">
        <f>参照ﾃﾞｰﾀ!F4</f>
        <v>2026年</v>
      </c>
      <c r="AD3" s="638"/>
      <c r="AE3" s="309" t="str">
        <f>参照ﾃﾞｰﾀ!H7</f>
        <v>4月</v>
      </c>
      <c r="AF3" s="309"/>
      <c r="AG3" s="280"/>
      <c r="AH3" s="281"/>
      <c r="AI3" s="281"/>
      <c r="AJ3" s="281" t="s">
        <v>343</v>
      </c>
      <c r="AL3" s="638" t="str">
        <f>参照ﾃﾞｰﾀ!F4</f>
        <v>2026年</v>
      </c>
      <c r="AM3" s="638"/>
      <c r="AN3" s="309" t="str">
        <f>参照ﾃﾞｰﾀ!H8</f>
        <v>5月</v>
      </c>
      <c r="AO3" s="309"/>
      <c r="AP3" s="280"/>
      <c r="AQ3" s="281"/>
      <c r="AR3" s="281"/>
      <c r="AS3" s="281" t="s">
        <v>343</v>
      </c>
      <c r="AU3" s="638" t="str">
        <f>参照ﾃﾞｰﾀ!F4</f>
        <v>2026年</v>
      </c>
      <c r="AV3" s="638"/>
      <c r="AW3" s="309" t="str">
        <f>参照ﾃﾞｰﾀ!H9</f>
        <v>6月</v>
      </c>
      <c r="AX3" s="309"/>
      <c r="AY3" s="280"/>
      <c r="AZ3" s="281"/>
      <c r="BA3" s="281"/>
      <c r="BB3" s="281" t="s">
        <v>343</v>
      </c>
    </row>
    <row r="4" spans="2:54" ht="48.5" customHeight="1" x14ac:dyDescent="0.2">
      <c r="B4" s="300"/>
      <c r="C4" s="301"/>
      <c r="D4" s="302"/>
      <c r="E4" s="297" t="s">
        <v>234</v>
      </c>
      <c r="F4" s="298" t="s">
        <v>235</v>
      </c>
      <c r="G4" s="411" t="s">
        <v>236</v>
      </c>
      <c r="H4" s="412" t="s">
        <v>237</v>
      </c>
      <c r="I4" s="639" t="s">
        <v>224</v>
      </c>
      <c r="K4" s="300"/>
      <c r="L4" s="301"/>
      <c r="M4" s="302"/>
      <c r="N4" s="297" t="s">
        <v>234</v>
      </c>
      <c r="O4" s="298" t="s">
        <v>235</v>
      </c>
      <c r="P4" s="411" t="s">
        <v>236</v>
      </c>
      <c r="Q4" s="412" t="s">
        <v>237</v>
      </c>
      <c r="R4" s="639" t="s">
        <v>224</v>
      </c>
      <c r="T4" s="300"/>
      <c r="U4" s="301"/>
      <c r="V4" s="302"/>
      <c r="W4" s="297" t="s">
        <v>234</v>
      </c>
      <c r="X4" s="298" t="s">
        <v>235</v>
      </c>
      <c r="Y4" s="411" t="s">
        <v>236</v>
      </c>
      <c r="Z4" s="412" t="s">
        <v>237</v>
      </c>
      <c r="AA4" s="639" t="s">
        <v>224</v>
      </c>
      <c r="AC4" s="300"/>
      <c r="AD4" s="301"/>
      <c r="AE4" s="302"/>
      <c r="AF4" s="297" t="s">
        <v>234</v>
      </c>
      <c r="AG4" s="298" t="s">
        <v>235</v>
      </c>
      <c r="AH4" s="411" t="s">
        <v>236</v>
      </c>
      <c r="AI4" s="412" t="s">
        <v>237</v>
      </c>
      <c r="AJ4" s="639" t="s">
        <v>224</v>
      </c>
      <c r="AL4" s="300"/>
      <c r="AM4" s="301"/>
      <c r="AN4" s="302"/>
      <c r="AO4" s="297" t="s">
        <v>234</v>
      </c>
      <c r="AP4" s="298" t="s">
        <v>235</v>
      </c>
      <c r="AQ4" s="411" t="s">
        <v>236</v>
      </c>
      <c r="AR4" s="412" t="s">
        <v>237</v>
      </c>
      <c r="AS4" s="639" t="s">
        <v>224</v>
      </c>
      <c r="AU4" s="300"/>
      <c r="AV4" s="301"/>
      <c r="AW4" s="302"/>
      <c r="AX4" s="297" t="s">
        <v>234</v>
      </c>
      <c r="AY4" s="298" t="s">
        <v>235</v>
      </c>
      <c r="AZ4" s="411" t="s">
        <v>236</v>
      </c>
      <c r="BA4" s="412" t="s">
        <v>237</v>
      </c>
      <c r="BB4" s="639" t="s">
        <v>224</v>
      </c>
    </row>
    <row r="5" spans="2:54" ht="16" thickBot="1" x14ac:dyDescent="0.3">
      <c r="B5" s="641" t="s">
        <v>223</v>
      </c>
      <c r="C5" s="642"/>
      <c r="D5" s="306" t="s">
        <v>164</v>
      </c>
      <c r="E5" s="307" t="s">
        <v>167</v>
      </c>
      <c r="F5" s="308" t="s">
        <v>167</v>
      </c>
      <c r="G5" s="308" t="s">
        <v>167</v>
      </c>
      <c r="H5" s="413" t="s">
        <v>167</v>
      </c>
      <c r="I5" s="640"/>
      <c r="K5" s="641" t="s">
        <v>223</v>
      </c>
      <c r="L5" s="642"/>
      <c r="M5" s="306" t="s">
        <v>164</v>
      </c>
      <c r="N5" s="307" t="s">
        <v>167</v>
      </c>
      <c r="O5" s="308" t="s">
        <v>167</v>
      </c>
      <c r="P5" s="308" t="s">
        <v>167</v>
      </c>
      <c r="Q5" s="413" t="s">
        <v>167</v>
      </c>
      <c r="R5" s="640"/>
      <c r="T5" s="641" t="s">
        <v>223</v>
      </c>
      <c r="U5" s="642"/>
      <c r="V5" s="306" t="s">
        <v>164</v>
      </c>
      <c r="W5" s="307" t="s">
        <v>167</v>
      </c>
      <c r="X5" s="308" t="s">
        <v>167</v>
      </c>
      <c r="Y5" s="308" t="s">
        <v>167</v>
      </c>
      <c r="Z5" s="413" t="s">
        <v>167</v>
      </c>
      <c r="AA5" s="640"/>
      <c r="AC5" s="641" t="s">
        <v>223</v>
      </c>
      <c r="AD5" s="642"/>
      <c r="AE5" s="306" t="s">
        <v>164</v>
      </c>
      <c r="AF5" s="307" t="s">
        <v>167</v>
      </c>
      <c r="AG5" s="308" t="s">
        <v>167</v>
      </c>
      <c r="AH5" s="308" t="s">
        <v>167</v>
      </c>
      <c r="AI5" s="413" t="s">
        <v>167</v>
      </c>
      <c r="AJ5" s="640"/>
      <c r="AL5" s="641" t="s">
        <v>223</v>
      </c>
      <c r="AM5" s="642"/>
      <c r="AN5" s="306" t="s">
        <v>164</v>
      </c>
      <c r="AO5" s="307" t="s">
        <v>167</v>
      </c>
      <c r="AP5" s="308" t="s">
        <v>167</v>
      </c>
      <c r="AQ5" s="308" t="s">
        <v>167</v>
      </c>
      <c r="AR5" s="413" t="s">
        <v>167</v>
      </c>
      <c r="AS5" s="640"/>
      <c r="AU5" s="641" t="s">
        <v>223</v>
      </c>
      <c r="AV5" s="642"/>
      <c r="AW5" s="306" t="s">
        <v>164</v>
      </c>
      <c r="AX5" s="307" t="s">
        <v>167</v>
      </c>
      <c r="AY5" s="308" t="s">
        <v>167</v>
      </c>
      <c r="AZ5" s="308" t="s">
        <v>167</v>
      </c>
      <c r="BA5" s="413" t="s">
        <v>167</v>
      </c>
      <c r="BB5" s="640"/>
    </row>
    <row r="6" spans="2:54" ht="13.5" thickTop="1" x14ac:dyDescent="0.2">
      <c r="B6" s="304">
        <v>1</v>
      </c>
      <c r="C6" s="294">
        <v>6451</v>
      </c>
      <c r="D6" s="295" t="s">
        <v>238</v>
      </c>
      <c r="E6" s="292">
        <v>755.33500000000004</v>
      </c>
      <c r="F6" s="293">
        <v>544.20119999999997</v>
      </c>
      <c r="G6" s="305">
        <v>464.92635000000001</v>
      </c>
      <c r="H6" s="305">
        <v>429.51150000000001</v>
      </c>
      <c r="I6" s="407" t="s">
        <v>239</v>
      </c>
      <c r="K6" s="304">
        <v>1</v>
      </c>
      <c r="L6" s="294">
        <v>6451</v>
      </c>
      <c r="M6" s="295" t="s">
        <v>238</v>
      </c>
      <c r="N6" s="292">
        <v>755.33500000000004</v>
      </c>
      <c r="O6" s="293">
        <v>544.20119999999997</v>
      </c>
      <c r="P6" s="305">
        <v>464.92635000000001</v>
      </c>
      <c r="Q6" s="305">
        <v>429.51150000000001</v>
      </c>
      <c r="R6" s="407" t="s">
        <v>239</v>
      </c>
      <c r="T6" s="304">
        <v>1</v>
      </c>
      <c r="U6" s="294">
        <v>6451</v>
      </c>
      <c r="V6" s="295" t="s">
        <v>238</v>
      </c>
      <c r="W6" s="292">
        <v>755.33500000000004</v>
      </c>
      <c r="X6" s="293">
        <v>544.20119999999997</v>
      </c>
      <c r="Y6" s="305">
        <v>464.92635000000001</v>
      </c>
      <c r="Z6" s="305">
        <v>429.51150000000001</v>
      </c>
      <c r="AA6" s="407" t="s">
        <v>239</v>
      </c>
      <c r="AC6" s="304">
        <v>1</v>
      </c>
      <c r="AD6" s="294">
        <v>6451</v>
      </c>
      <c r="AE6" s="295" t="s">
        <v>238</v>
      </c>
      <c r="AF6" s="292">
        <v>755.33500000000004</v>
      </c>
      <c r="AG6" s="293">
        <v>544.20119999999997</v>
      </c>
      <c r="AH6" s="305">
        <v>464.92635000000001</v>
      </c>
      <c r="AI6" s="305">
        <v>429.51150000000001</v>
      </c>
      <c r="AJ6" s="407" t="s">
        <v>239</v>
      </c>
      <c r="AL6" s="304">
        <v>1</v>
      </c>
      <c r="AM6" s="294">
        <v>6451</v>
      </c>
      <c r="AN6" s="295" t="s">
        <v>238</v>
      </c>
      <c r="AO6" s="292">
        <v>755.33500000000004</v>
      </c>
      <c r="AP6" s="293">
        <v>544.20119999999997</v>
      </c>
      <c r="AQ6" s="305">
        <v>464.92635000000001</v>
      </c>
      <c r="AR6" s="305">
        <v>429.51150000000001</v>
      </c>
      <c r="AS6" s="407" t="s">
        <v>239</v>
      </c>
      <c r="AU6" s="304">
        <v>1</v>
      </c>
      <c r="AV6" s="294">
        <v>6451</v>
      </c>
      <c r="AW6" s="295" t="s">
        <v>238</v>
      </c>
      <c r="AX6" s="292">
        <v>755.33500000000004</v>
      </c>
      <c r="AY6" s="293">
        <v>544.20119999999997</v>
      </c>
      <c r="AZ6" s="305">
        <v>464.92635000000001</v>
      </c>
      <c r="BA6" s="305">
        <v>429.51150000000001</v>
      </c>
      <c r="BB6" s="407" t="s">
        <v>239</v>
      </c>
    </row>
    <row r="7" spans="2:54" x14ac:dyDescent="0.2">
      <c r="B7" s="391">
        <v>2</v>
      </c>
      <c r="C7" s="392">
        <v>6471</v>
      </c>
      <c r="D7" s="393" t="s">
        <v>240</v>
      </c>
      <c r="E7" s="394">
        <v>773.66099999999994</v>
      </c>
      <c r="F7" s="395">
        <v>580.60919999999999</v>
      </c>
      <c r="G7" s="396">
        <v>489.79874999999998</v>
      </c>
      <c r="H7" s="305">
        <v>449.21249999999998</v>
      </c>
      <c r="I7" s="408" t="s">
        <v>239</v>
      </c>
      <c r="K7" s="391">
        <v>2</v>
      </c>
      <c r="L7" s="392">
        <v>6471</v>
      </c>
      <c r="M7" s="393" t="s">
        <v>240</v>
      </c>
      <c r="N7" s="394">
        <v>773.66099999999994</v>
      </c>
      <c r="O7" s="395">
        <v>580.60919999999999</v>
      </c>
      <c r="P7" s="396">
        <v>489.79874999999998</v>
      </c>
      <c r="Q7" s="305">
        <v>449.21249999999998</v>
      </c>
      <c r="R7" s="408" t="s">
        <v>239</v>
      </c>
      <c r="T7" s="391">
        <v>2</v>
      </c>
      <c r="U7" s="392">
        <v>6471</v>
      </c>
      <c r="V7" s="393" t="s">
        <v>240</v>
      </c>
      <c r="W7" s="394">
        <v>773.66099999999994</v>
      </c>
      <c r="X7" s="395">
        <v>580.60919999999999</v>
      </c>
      <c r="Y7" s="396">
        <v>489.79874999999998</v>
      </c>
      <c r="Z7" s="305">
        <v>449.21249999999998</v>
      </c>
      <c r="AA7" s="408" t="s">
        <v>239</v>
      </c>
      <c r="AC7" s="391">
        <v>2</v>
      </c>
      <c r="AD7" s="392">
        <v>6471</v>
      </c>
      <c r="AE7" s="393" t="s">
        <v>240</v>
      </c>
      <c r="AF7" s="394">
        <v>773.66099999999994</v>
      </c>
      <c r="AG7" s="395">
        <v>580.60919999999999</v>
      </c>
      <c r="AH7" s="396">
        <v>489.79874999999998</v>
      </c>
      <c r="AI7" s="305">
        <v>449.21249999999998</v>
      </c>
      <c r="AJ7" s="408" t="s">
        <v>239</v>
      </c>
      <c r="AL7" s="391">
        <v>2</v>
      </c>
      <c r="AM7" s="392">
        <v>6471</v>
      </c>
      <c r="AN7" s="393" t="s">
        <v>240</v>
      </c>
      <c r="AO7" s="394">
        <v>773.66099999999994</v>
      </c>
      <c r="AP7" s="395">
        <v>580.60919999999999</v>
      </c>
      <c r="AQ7" s="396">
        <v>489.79874999999998</v>
      </c>
      <c r="AR7" s="305">
        <v>449.21249999999998</v>
      </c>
      <c r="AS7" s="408" t="s">
        <v>239</v>
      </c>
      <c r="AU7" s="391">
        <v>2</v>
      </c>
      <c r="AV7" s="392">
        <v>6471</v>
      </c>
      <c r="AW7" s="393" t="s">
        <v>240</v>
      </c>
      <c r="AX7" s="394">
        <v>773.66099999999994</v>
      </c>
      <c r="AY7" s="395">
        <v>580.60919999999999</v>
      </c>
      <c r="AZ7" s="396">
        <v>489.79874999999998</v>
      </c>
      <c r="BA7" s="305">
        <v>449.21249999999998</v>
      </c>
      <c r="BB7" s="408" t="s">
        <v>239</v>
      </c>
    </row>
    <row r="8" spans="2:54" x14ac:dyDescent="0.2">
      <c r="B8" s="304">
        <v>3</v>
      </c>
      <c r="C8" s="291">
        <v>6793</v>
      </c>
      <c r="D8" s="397" t="s">
        <v>241</v>
      </c>
      <c r="E8" s="292">
        <v>801.3</v>
      </c>
      <c r="F8" s="293">
        <v>578.79999999999995</v>
      </c>
      <c r="G8" s="303">
        <v>502.55</v>
      </c>
      <c r="H8" s="305">
        <v>479.15</v>
      </c>
      <c r="I8" s="408"/>
      <c r="K8" s="304">
        <v>3</v>
      </c>
      <c r="L8" s="291">
        <v>6793</v>
      </c>
      <c r="M8" s="397" t="s">
        <v>241</v>
      </c>
      <c r="N8" s="292">
        <v>801.3</v>
      </c>
      <c r="O8" s="293">
        <v>578.79999999999995</v>
      </c>
      <c r="P8" s="303">
        <v>502.55</v>
      </c>
      <c r="Q8" s="305">
        <v>479.15</v>
      </c>
      <c r="R8" s="408"/>
      <c r="T8" s="304">
        <v>3</v>
      </c>
      <c r="U8" s="291">
        <v>6793</v>
      </c>
      <c r="V8" s="397" t="s">
        <v>241</v>
      </c>
      <c r="W8" s="292">
        <v>801.3</v>
      </c>
      <c r="X8" s="293">
        <v>578.79999999999995</v>
      </c>
      <c r="Y8" s="303">
        <v>502.55</v>
      </c>
      <c r="Z8" s="305">
        <v>479.15</v>
      </c>
      <c r="AA8" s="408"/>
      <c r="AC8" s="304">
        <v>3</v>
      </c>
      <c r="AD8" s="291">
        <v>6793</v>
      </c>
      <c r="AE8" s="397" t="s">
        <v>241</v>
      </c>
      <c r="AF8" s="292">
        <v>801.3</v>
      </c>
      <c r="AG8" s="293">
        <v>578.79999999999995</v>
      </c>
      <c r="AH8" s="303">
        <v>502.55</v>
      </c>
      <c r="AI8" s="305">
        <v>479.15</v>
      </c>
      <c r="AJ8" s="408"/>
      <c r="AL8" s="304">
        <v>3</v>
      </c>
      <c r="AM8" s="291">
        <v>6793</v>
      </c>
      <c r="AN8" s="397" t="s">
        <v>241</v>
      </c>
      <c r="AO8" s="292">
        <v>801.3</v>
      </c>
      <c r="AP8" s="293">
        <v>578.79999999999995</v>
      </c>
      <c r="AQ8" s="303">
        <v>502.55</v>
      </c>
      <c r="AR8" s="305">
        <v>479.15</v>
      </c>
      <c r="AS8" s="408"/>
      <c r="AU8" s="304">
        <v>3</v>
      </c>
      <c r="AV8" s="291">
        <v>6793</v>
      </c>
      <c r="AW8" s="397" t="s">
        <v>241</v>
      </c>
      <c r="AX8" s="292">
        <v>801.3</v>
      </c>
      <c r="AY8" s="293">
        <v>578.79999999999995</v>
      </c>
      <c r="AZ8" s="303">
        <v>502.55</v>
      </c>
      <c r="BA8" s="305">
        <v>479.15</v>
      </c>
      <c r="BB8" s="408"/>
    </row>
    <row r="9" spans="2:54" x14ac:dyDescent="0.2">
      <c r="B9" s="391">
        <v>4</v>
      </c>
      <c r="C9" s="398">
        <v>6269</v>
      </c>
      <c r="D9" s="393" t="s">
        <v>198</v>
      </c>
      <c r="E9" s="394">
        <v>799.09199999999998</v>
      </c>
      <c r="F9" s="395">
        <v>586.75919999999996</v>
      </c>
      <c r="G9" s="396">
        <v>510.92054999999999</v>
      </c>
      <c r="H9" s="305">
        <v>485.14949999999999</v>
      </c>
      <c r="I9" s="408" t="s">
        <v>239</v>
      </c>
      <c r="K9" s="391">
        <v>4</v>
      </c>
      <c r="L9" s="398">
        <v>6269</v>
      </c>
      <c r="M9" s="393" t="s">
        <v>198</v>
      </c>
      <c r="N9" s="394">
        <v>799.09199999999998</v>
      </c>
      <c r="O9" s="395">
        <v>586.75919999999996</v>
      </c>
      <c r="P9" s="396">
        <v>510.92054999999999</v>
      </c>
      <c r="Q9" s="305">
        <v>485.14949999999999</v>
      </c>
      <c r="R9" s="408" t="s">
        <v>239</v>
      </c>
      <c r="T9" s="391">
        <v>4</v>
      </c>
      <c r="U9" s="398">
        <v>6269</v>
      </c>
      <c r="V9" s="393" t="s">
        <v>198</v>
      </c>
      <c r="W9" s="394">
        <v>799.09199999999998</v>
      </c>
      <c r="X9" s="395">
        <v>586.75919999999996</v>
      </c>
      <c r="Y9" s="396">
        <v>510.92054999999999</v>
      </c>
      <c r="Z9" s="305">
        <v>485.14949999999999</v>
      </c>
      <c r="AA9" s="408" t="s">
        <v>239</v>
      </c>
      <c r="AC9" s="391">
        <v>4</v>
      </c>
      <c r="AD9" s="398">
        <v>6269</v>
      </c>
      <c r="AE9" s="393" t="s">
        <v>198</v>
      </c>
      <c r="AF9" s="394">
        <v>799.09199999999998</v>
      </c>
      <c r="AG9" s="395">
        <v>586.75919999999996</v>
      </c>
      <c r="AH9" s="396">
        <v>510.92054999999999</v>
      </c>
      <c r="AI9" s="305">
        <v>485.14949999999999</v>
      </c>
      <c r="AJ9" s="408" t="s">
        <v>239</v>
      </c>
      <c r="AL9" s="391">
        <v>4</v>
      </c>
      <c r="AM9" s="398">
        <v>6269</v>
      </c>
      <c r="AN9" s="393" t="s">
        <v>198</v>
      </c>
      <c r="AO9" s="394">
        <v>799.09199999999998</v>
      </c>
      <c r="AP9" s="395">
        <v>586.75919999999996</v>
      </c>
      <c r="AQ9" s="396">
        <v>510.92054999999999</v>
      </c>
      <c r="AR9" s="305">
        <v>485.14949999999999</v>
      </c>
      <c r="AS9" s="408" t="s">
        <v>239</v>
      </c>
      <c r="AU9" s="391">
        <v>4</v>
      </c>
      <c r="AV9" s="398">
        <v>6269</v>
      </c>
      <c r="AW9" s="393" t="s">
        <v>198</v>
      </c>
      <c r="AX9" s="394">
        <v>799.09199999999998</v>
      </c>
      <c r="AY9" s="395">
        <v>586.75919999999996</v>
      </c>
      <c r="AZ9" s="396">
        <v>510.92054999999999</v>
      </c>
      <c r="BA9" s="305">
        <v>485.14949999999999</v>
      </c>
      <c r="BB9" s="408" t="s">
        <v>239</v>
      </c>
    </row>
    <row r="10" spans="2:54" x14ac:dyDescent="0.2">
      <c r="B10" s="304">
        <v>5</v>
      </c>
      <c r="C10" s="398">
        <v>3663</v>
      </c>
      <c r="D10" s="393" t="s">
        <v>165</v>
      </c>
      <c r="E10" s="394">
        <v>801.101</v>
      </c>
      <c r="F10" s="395">
        <v>587.69399999999996</v>
      </c>
      <c r="G10" s="396">
        <v>512.45039999999995</v>
      </c>
      <c r="H10" s="305">
        <v>486.93150000000003</v>
      </c>
      <c r="I10" s="408" t="s">
        <v>239</v>
      </c>
      <c r="K10" s="304">
        <v>5</v>
      </c>
      <c r="L10" s="398">
        <v>3663</v>
      </c>
      <c r="M10" s="393" t="s">
        <v>165</v>
      </c>
      <c r="N10" s="394">
        <v>801.101</v>
      </c>
      <c r="O10" s="395">
        <v>587.69399999999996</v>
      </c>
      <c r="P10" s="396">
        <v>512.45039999999995</v>
      </c>
      <c r="Q10" s="305">
        <v>486.93150000000003</v>
      </c>
      <c r="R10" s="408" t="s">
        <v>239</v>
      </c>
      <c r="T10" s="304">
        <v>5</v>
      </c>
      <c r="U10" s="398">
        <v>3663</v>
      </c>
      <c r="V10" s="393" t="s">
        <v>165</v>
      </c>
      <c r="W10" s="394">
        <v>801.101</v>
      </c>
      <c r="X10" s="395">
        <v>587.69399999999996</v>
      </c>
      <c r="Y10" s="396">
        <v>512.45039999999995</v>
      </c>
      <c r="Z10" s="305">
        <v>486.93150000000003</v>
      </c>
      <c r="AA10" s="408" t="s">
        <v>239</v>
      </c>
      <c r="AC10" s="304">
        <v>5</v>
      </c>
      <c r="AD10" s="398">
        <v>3663</v>
      </c>
      <c r="AE10" s="393" t="s">
        <v>165</v>
      </c>
      <c r="AF10" s="394">
        <v>801.101</v>
      </c>
      <c r="AG10" s="395">
        <v>587.69399999999996</v>
      </c>
      <c r="AH10" s="396">
        <v>512.45039999999995</v>
      </c>
      <c r="AI10" s="305">
        <v>486.93150000000003</v>
      </c>
      <c r="AJ10" s="408" t="s">
        <v>239</v>
      </c>
      <c r="AL10" s="304">
        <v>5</v>
      </c>
      <c r="AM10" s="398">
        <v>3663</v>
      </c>
      <c r="AN10" s="393" t="s">
        <v>165</v>
      </c>
      <c r="AO10" s="394">
        <v>801.101</v>
      </c>
      <c r="AP10" s="395">
        <v>587.69399999999996</v>
      </c>
      <c r="AQ10" s="396">
        <v>512.45039999999995</v>
      </c>
      <c r="AR10" s="305">
        <v>486.93150000000003</v>
      </c>
      <c r="AS10" s="408" t="s">
        <v>239</v>
      </c>
      <c r="AU10" s="304">
        <v>5</v>
      </c>
      <c r="AV10" s="398">
        <v>3663</v>
      </c>
      <c r="AW10" s="393" t="s">
        <v>165</v>
      </c>
      <c r="AX10" s="394">
        <v>801.101</v>
      </c>
      <c r="AY10" s="395">
        <v>587.69399999999996</v>
      </c>
      <c r="AZ10" s="396">
        <v>512.45039999999995</v>
      </c>
      <c r="BA10" s="305">
        <v>486.93150000000003</v>
      </c>
      <c r="BB10" s="408" t="s">
        <v>239</v>
      </c>
    </row>
    <row r="11" spans="2:54" x14ac:dyDescent="0.2">
      <c r="B11" s="391">
        <v>6</v>
      </c>
      <c r="C11" s="398">
        <v>4010</v>
      </c>
      <c r="D11" s="393" t="s">
        <v>114</v>
      </c>
      <c r="E11" s="394">
        <v>823.5</v>
      </c>
      <c r="F11" s="395">
        <v>600.6</v>
      </c>
      <c r="G11" s="396">
        <v>514.9</v>
      </c>
      <c r="H11" s="305">
        <v>492.45</v>
      </c>
      <c r="I11" s="409"/>
      <c r="K11" s="391">
        <v>6</v>
      </c>
      <c r="L11" s="398">
        <v>4010</v>
      </c>
      <c r="M11" s="393" t="s">
        <v>114</v>
      </c>
      <c r="N11" s="394">
        <v>823.5</v>
      </c>
      <c r="O11" s="395">
        <v>600.6</v>
      </c>
      <c r="P11" s="396">
        <v>514.9</v>
      </c>
      <c r="Q11" s="305">
        <v>492.45</v>
      </c>
      <c r="R11" s="409"/>
      <c r="T11" s="391">
        <v>6</v>
      </c>
      <c r="U11" s="398">
        <v>4010</v>
      </c>
      <c r="V11" s="393" t="s">
        <v>114</v>
      </c>
      <c r="W11" s="394">
        <v>823.5</v>
      </c>
      <c r="X11" s="395">
        <v>600.6</v>
      </c>
      <c r="Y11" s="396">
        <v>514.9</v>
      </c>
      <c r="Z11" s="305">
        <v>492.45</v>
      </c>
      <c r="AA11" s="409"/>
      <c r="AC11" s="391">
        <v>6</v>
      </c>
      <c r="AD11" s="398">
        <v>4010</v>
      </c>
      <c r="AE11" s="393" t="s">
        <v>114</v>
      </c>
      <c r="AF11" s="394">
        <v>823.5</v>
      </c>
      <c r="AG11" s="395">
        <v>600.6</v>
      </c>
      <c r="AH11" s="396">
        <v>514.9</v>
      </c>
      <c r="AI11" s="305">
        <v>492.45</v>
      </c>
      <c r="AJ11" s="409"/>
      <c r="AL11" s="391">
        <v>6</v>
      </c>
      <c r="AM11" s="398">
        <v>4010</v>
      </c>
      <c r="AN11" s="393" t="s">
        <v>114</v>
      </c>
      <c r="AO11" s="394">
        <v>823.5</v>
      </c>
      <c r="AP11" s="395">
        <v>600.6</v>
      </c>
      <c r="AQ11" s="396">
        <v>514.9</v>
      </c>
      <c r="AR11" s="305">
        <v>492.45</v>
      </c>
      <c r="AS11" s="409"/>
      <c r="AU11" s="391">
        <v>6</v>
      </c>
      <c r="AV11" s="398">
        <v>4010</v>
      </c>
      <c r="AW11" s="393" t="s">
        <v>114</v>
      </c>
      <c r="AX11" s="394">
        <v>823.5</v>
      </c>
      <c r="AY11" s="395">
        <v>600.6</v>
      </c>
      <c r="AZ11" s="396">
        <v>514.9</v>
      </c>
      <c r="BA11" s="305">
        <v>492.45</v>
      </c>
      <c r="BB11" s="409"/>
    </row>
    <row r="12" spans="2:54" x14ac:dyDescent="0.2">
      <c r="B12" s="304">
        <v>7</v>
      </c>
      <c r="C12" s="398">
        <v>380</v>
      </c>
      <c r="D12" s="393" t="s">
        <v>115</v>
      </c>
      <c r="E12" s="394">
        <v>822.2</v>
      </c>
      <c r="F12" s="395">
        <v>597.15</v>
      </c>
      <c r="G12" s="396">
        <v>520</v>
      </c>
      <c r="H12" s="305">
        <v>497.25</v>
      </c>
      <c r="I12" s="409"/>
      <c r="K12" s="304">
        <v>7</v>
      </c>
      <c r="L12" s="398">
        <v>380</v>
      </c>
      <c r="M12" s="393" t="s">
        <v>115</v>
      </c>
      <c r="N12" s="394">
        <v>822.2</v>
      </c>
      <c r="O12" s="395">
        <v>597.15</v>
      </c>
      <c r="P12" s="396">
        <v>520</v>
      </c>
      <c r="Q12" s="305">
        <v>497.25</v>
      </c>
      <c r="R12" s="409"/>
      <c r="T12" s="304">
        <v>7</v>
      </c>
      <c r="U12" s="398">
        <v>380</v>
      </c>
      <c r="V12" s="393" t="s">
        <v>115</v>
      </c>
      <c r="W12" s="394">
        <v>822.2</v>
      </c>
      <c r="X12" s="395">
        <v>597.15</v>
      </c>
      <c r="Y12" s="396">
        <v>520</v>
      </c>
      <c r="Z12" s="305">
        <v>497.25</v>
      </c>
      <c r="AA12" s="409"/>
      <c r="AC12" s="304">
        <v>7</v>
      </c>
      <c r="AD12" s="398">
        <v>380</v>
      </c>
      <c r="AE12" s="393" t="s">
        <v>115</v>
      </c>
      <c r="AF12" s="394">
        <v>822.2</v>
      </c>
      <c r="AG12" s="395">
        <v>597.15</v>
      </c>
      <c r="AH12" s="396">
        <v>520</v>
      </c>
      <c r="AI12" s="305">
        <v>497.25</v>
      </c>
      <c r="AJ12" s="409"/>
      <c r="AL12" s="304">
        <v>7</v>
      </c>
      <c r="AM12" s="398">
        <v>380</v>
      </c>
      <c r="AN12" s="393" t="s">
        <v>115</v>
      </c>
      <c r="AO12" s="394">
        <v>822.2</v>
      </c>
      <c r="AP12" s="395">
        <v>597.15</v>
      </c>
      <c r="AQ12" s="396">
        <v>520</v>
      </c>
      <c r="AR12" s="305">
        <v>497.25</v>
      </c>
      <c r="AS12" s="409"/>
      <c r="AU12" s="304">
        <v>7</v>
      </c>
      <c r="AV12" s="398">
        <v>380</v>
      </c>
      <c r="AW12" s="393" t="s">
        <v>115</v>
      </c>
      <c r="AX12" s="394">
        <v>822.2</v>
      </c>
      <c r="AY12" s="395">
        <v>597.15</v>
      </c>
      <c r="AZ12" s="396">
        <v>520</v>
      </c>
      <c r="BA12" s="305">
        <v>497.25</v>
      </c>
      <c r="BB12" s="409"/>
    </row>
    <row r="13" spans="2:54" x14ac:dyDescent="0.2">
      <c r="B13" s="391">
        <v>8</v>
      </c>
      <c r="C13" s="398">
        <v>5797</v>
      </c>
      <c r="D13" s="393" t="s">
        <v>242</v>
      </c>
      <c r="E13" s="394">
        <v>817.85900000000004</v>
      </c>
      <c r="F13" s="395">
        <v>603.0444</v>
      </c>
      <c r="G13" s="396">
        <v>524.68920000000003</v>
      </c>
      <c r="H13" s="305">
        <v>498.86099999999999</v>
      </c>
      <c r="I13" s="408" t="s">
        <v>239</v>
      </c>
      <c r="K13" s="391">
        <v>8</v>
      </c>
      <c r="L13" s="398">
        <v>5797</v>
      </c>
      <c r="M13" s="393" t="s">
        <v>242</v>
      </c>
      <c r="N13" s="394">
        <v>817.85900000000004</v>
      </c>
      <c r="O13" s="395">
        <v>603.0444</v>
      </c>
      <c r="P13" s="396">
        <v>524.68920000000003</v>
      </c>
      <c r="Q13" s="305">
        <v>498.86099999999999</v>
      </c>
      <c r="R13" s="408" t="s">
        <v>239</v>
      </c>
      <c r="T13" s="391">
        <v>8</v>
      </c>
      <c r="U13" s="398">
        <v>5797</v>
      </c>
      <c r="V13" s="393" t="s">
        <v>242</v>
      </c>
      <c r="W13" s="394">
        <v>817.85900000000004</v>
      </c>
      <c r="X13" s="395">
        <v>603.0444</v>
      </c>
      <c r="Y13" s="396">
        <v>524.68920000000003</v>
      </c>
      <c r="Z13" s="305">
        <v>498.86099999999999</v>
      </c>
      <c r="AA13" s="408" t="s">
        <v>239</v>
      </c>
      <c r="AC13" s="391">
        <v>8</v>
      </c>
      <c r="AD13" s="398">
        <v>5797</v>
      </c>
      <c r="AE13" s="393" t="s">
        <v>242</v>
      </c>
      <c r="AF13" s="394">
        <v>817.85900000000004</v>
      </c>
      <c r="AG13" s="395">
        <v>603.0444</v>
      </c>
      <c r="AH13" s="396">
        <v>524.68920000000003</v>
      </c>
      <c r="AI13" s="305">
        <v>498.86099999999999</v>
      </c>
      <c r="AJ13" s="408" t="s">
        <v>239</v>
      </c>
      <c r="AL13" s="391">
        <v>8</v>
      </c>
      <c r="AM13" s="398">
        <v>5797</v>
      </c>
      <c r="AN13" s="393" t="s">
        <v>242</v>
      </c>
      <c r="AO13" s="394">
        <v>817.85900000000004</v>
      </c>
      <c r="AP13" s="395">
        <v>603.0444</v>
      </c>
      <c r="AQ13" s="396">
        <v>524.68920000000003</v>
      </c>
      <c r="AR13" s="305">
        <v>498.86099999999999</v>
      </c>
      <c r="AS13" s="408" t="s">
        <v>239</v>
      </c>
      <c r="AU13" s="391">
        <v>8</v>
      </c>
      <c r="AV13" s="398">
        <v>5797</v>
      </c>
      <c r="AW13" s="393" t="s">
        <v>242</v>
      </c>
      <c r="AX13" s="394">
        <v>817.85900000000004</v>
      </c>
      <c r="AY13" s="395">
        <v>603.0444</v>
      </c>
      <c r="AZ13" s="396">
        <v>524.68920000000003</v>
      </c>
      <c r="BA13" s="305">
        <v>498.86099999999999</v>
      </c>
      <c r="BB13" s="408" t="s">
        <v>239</v>
      </c>
    </row>
    <row r="14" spans="2:54" x14ac:dyDescent="0.2">
      <c r="B14" s="304">
        <v>9</v>
      </c>
      <c r="C14" s="551">
        <v>1733</v>
      </c>
      <c r="D14" s="552" t="s">
        <v>111</v>
      </c>
      <c r="E14" s="399">
        <v>852.05</v>
      </c>
      <c r="F14" s="400">
        <v>616.6</v>
      </c>
      <c r="G14" s="401">
        <v>527.1</v>
      </c>
      <c r="H14" s="305">
        <v>501.85</v>
      </c>
      <c r="I14" s="408"/>
      <c r="K14" s="304">
        <v>9</v>
      </c>
      <c r="L14" s="551">
        <v>1733</v>
      </c>
      <c r="M14" s="552" t="s">
        <v>111</v>
      </c>
      <c r="N14" s="399">
        <v>852.05</v>
      </c>
      <c r="O14" s="400">
        <v>616.6</v>
      </c>
      <c r="P14" s="401">
        <v>527.1</v>
      </c>
      <c r="Q14" s="305">
        <v>501.85</v>
      </c>
      <c r="R14" s="408"/>
      <c r="T14" s="304">
        <v>9</v>
      </c>
      <c r="U14" s="551">
        <v>1733</v>
      </c>
      <c r="V14" s="552" t="s">
        <v>111</v>
      </c>
      <c r="W14" s="399">
        <v>852.05</v>
      </c>
      <c r="X14" s="400">
        <v>616.6</v>
      </c>
      <c r="Y14" s="401">
        <v>527.1</v>
      </c>
      <c r="Z14" s="305">
        <v>501.85</v>
      </c>
      <c r="AA14" s="408"/>
      <c r="AC14" s="304">
        <v>9</v>
      </c>
      <c r="AD14" s="551">
        <v>1733</v>
      </c>
      <c r="AE14" s="552" t="s">
        <v>111</v>
      </c>
      <c r="AF14" s="399">
        <v>852.05</v>
      </c>
      <c r="AG14" s="400">
        <v>616.6</v>
      </c>
      <c r="AH14" s="401">
        <v>527.1</v>
      </c>
      <c r="AI14" s="305">
        <v>501.85</v>
      </c>
      <c r="AJ14" s="408"/>
      <c r="AL14" s="304">
        <v>9</v>
      </c>
      <c r="AM14" s="551">
        <v>1733</v>
      </c>
      <c r="AN14" s="552" t="s">
        <v>111</v>
      </c>
      <c r="AO14" s="399">
        <v>852.05</v>
      </c>
      <c r="AP14" s="400">
        <v>616.6</v>
      </c>
      <c r="AQ14" s="401">
        <v>527.1</v>
      </c>
      <c r="AR14" s="305">
        <v>501.85</v>
      </c>
      <c r="AS14" s="408"/>
      <c r="AU14" s="304">
        <v>9</v>
      </c>
      <c r="AV14" s="551">
        <v>1733</v>
      </c>
      <c r="AW14" s="552" t="s">
        <v>111</v>
      </c>
      <c r="AX14" s="399">
        <v>852.05</v>
      </c>
      <c r="AY14" s="400">
        <v>616.6</v>
      </c>
      <c r="AZ14" s="401">
        <v>527.1</v>
      </c>
      <c r="BA14" s="305">
        <v>501.85</v>
      </c>
      <c r="BB14" s="408"/>
    </row>
    <row r="15" spans="2:54" x14ac:dyDescent="0.2">
      <c r="B15" s="391">
        <v>10</v>
      </c>
      <c r="C15" s="398">
        <v>199</v>
      </c>
      <c r="D15" s="393" t="s">
        <v>24</v>
      </c>
      <c r="E15" s="394">
        <v>878.35</v>
      </c>
      <c r="F15" s="395">
        <v>625.95000000000005</v>
      </c>
      <c r="G15" s="396">
        <v>533.85</v>
      </c>
      <c r="H15" s="305">
        <v>505.6</v>
      </c>
      <c r="I15" s="408"/>
      <c r="K15" s="391">
        <v>10</v>
      </c>
      <c r="L15" s="398">
        <v>199</v>
      </c>
      <c r="M15" s="393" t="s">
        <v>24</v>
      </c>
      <c r="N15" s="553">
        <v>879.45</v>
      </c>
      <c r="O15" s="554">
        <v>626.1</v>
      </c>
      <c r="P15" s="555">
        <v>535.04999999999995</v>
      </c>
      <c r="Q15" s="556">
        <v>507.5</v>
      </c>
      <c r="R15" s="408"/>
      <c r="T15" s="391">
        <v>10</v>
      </c>
      <c r="U15" s="398">
        <v>199</v>
      </c>
      <c r="V15" s="393" t="s">
        <v>24</v>
      </c>
      <c r="W15" s="394">
        <v>879.45</v>
      </c>
      <c r="X15" s="395">
        <v>626.1</v>
      </c>
      <c r="Y15" s="396">
        <v>535.04999999999995</v>
      </c>
      <c r="Z15" s="305">
        <v>507.5</v>
      </c>
      <c r="AA15" s="408"/>
      <c r="AC15" s="391">
        <v>10</v>
      </c>
      <c r="AD15" s="398">
        <v>199</v>
      </c>
      <c r="AE15" s="393" t="s">
        <v>24</v>
      </c>
      <c r="AF15" s="394">
        <v>879.45</v>
      </c>
      <c r="AG15" s="395">
        <v>626.1</v>
      </c>
      <c r="AH15" s="396">
        <v>535.04999999999995</v>
      </c>
      <c r="AI15" s="305">
        <v>507.5</v>
      </c>
      <c r="AJ15" s="408"/>
      <c r="AL15" s="391">
        <v>10</v>
      </c>
      <c r="AM15" s="398">
        <v>199</v>
      </c>
      <c r="AN15" s="393" t="s">
        <v>24</v>
      </c>
      <c r="AO15" s="394">
        <v>879.45</v>
      </c>
      <c r="AP15" s="395">
        <v>626.1</v>
      </c>
      <c r="AQ15" s="396">
        <v>535.04999999999995</v>
      </c>
      <c r="AR15" s="305">
        <v>507.5</v>
      </c>
      <c r="AS15" s="408"/>
      <c r="AU15" s="391">
        <v>10</v>
      </c>
      <c r="AV15" s="398">
        <v>199</v>
      </c>
      <c r="AW15" s="393" t="s">
        <v>24</v>
      </c>
      <c r="AX15" s="394">
        <v>879.45</v>
      </c>
      <c r="AY15" s="395">
        <v>626.1</v>
      </c>
      <c r="AZ15" s="396">
        <v>535.04999999999995</v>
      </c>
      <c r="BA15" s="305">
        <v>507.5</v>
      </c>
      <c r="BB15" s="408"/>
    </row>
    <row r="16" spans="2:54" x14ac:dyDescent="0.2">
      <c r="B16" s="304">
        <v>11</v>
      </c>
      <c r="C16" s="398">
        <v>321</v>
      </c>
      <c r="D16" s="393" t="s">
        <v>26</v>
      </c>
      <c r="E16" s="394">
        <v>844.85</v>
      </c>
      <c r="F16" s="395">
        <v>618.1</v>
      </c>
      <c r="G16" s="396">
        <v>534.6</v>
      </c>
      <c r="H16" s="305">
        <v>507.65</v>
      </c>
      <c r="I16" s="408"/>
      <c r="K16" s="304">
        <v>11</v>
      </c>
      <c r="L16" s="398">
        <v>321</v>
      </c>
      <c r="M16" s="393" t="s">
        <v>26</v>
      </c>
      <c r="N16" s="394">
        <v>844.85</v>
      </c>
      <c r="O16" s="395">
        <v>618.1</v>
      </c>
      <c r="P16" s="396">
        <v>534.6</v>
      </c>
      <c r="Q16" s="305">
        <v>507.65</v>
      </c>
      <c r="R16" s="408"/>
      <c r="T16" s="304">
        <v>11</v>
      </c>
      <c r="U16" s="398">
        <v>321</v>
      </c>
      <c r="V16" s="393" t="s">
        <v>26</v>
      </c>
      <c r="W16" s="394">
        <v>844.85</v>
      </c>
      <c r="X16" s="395">
        <v>618.1</v>
      </c>
      <c r="Y16" s="396">
        <v>534.6</v>
      </c>
      <c r="Z16" s="305">
        <v>507.65</v>
      </c>
      <c r="AA16" s="408"/>
      <c r="AC16" s="304">
        <v>11</v>
      </c>
      <c r="AD16" s="398">
        <v>321</v>
      </c>
      <c r="AE16" s="393" t="s">
        <v>26</v>
      </c>
      <c r="AF16" s="394">
        <v>844.85</v>
      </c>
      <c r="AG16" s="395">
        <v>618.1</v>
      </c>
      <c r="AH16" s="396">
        <v>534.6</v>
      </c>
      <c r="AI16" s="305">
        <v>507.65</v>
      </c>
      <c r="AJ16" s="408"/>
      <c r="AL16" s="304">
        <v>11</v>
      </c>
      <c r="AM16" s="398">
        <v>321</v>
      </c>
      <c r="AN16" s="393" t="s">
        <v>26</v>
      </c>
      <c r="AO16" s="394">
        <v>844.85</v>
      </c>
      <c r="AP16" s="395">
        <v>618.1</v>
      </c>
      <c r="AQ16" s="396">
        <v>534.6</v>
      </c>
      <c r="AR16" s="305">
        <v>507.65</v>
      </c>
      <c r="AS16" s="408"/>
      <c r="AU16" s="304">
        <v>11</v>
      </c>
      <c r="AV16" s="398">
        <v>321</v>
      </c>
      <c r="AW16" s="393" t="s">
        <v>26</v>
      </c>
      <c r="AX16" s="394">
        <v>844.85</v>
      </c>
      <c r="AY16" s="395">
        <v>618.1</v>
      </c>
      <c r="AZ16" s="396">
        <v>534.6</v>
      </c>
      <c r="BA16" s="305">
        <v>507.65</v>
      </c>
      <c r="BB16" s="408"/>
    </row>
    <row r="17" spans="2:54" x14ac:dyDescent="0.2">
      <c r="B17" s="391">
        <v>12</v>
      </c>
      <c r="C17" s="398">
        <v>2212</v>
      </c>
      <c r="D17" s="393" t="s">
        <v>27</v>
      </c>
      <c r="E17" s="394">
        <v>892.4</v>
      </c>
      <c r="F17" s="395">
        <v>634</v>
      </c>
      <c r="G17" s="396">
        <v>535.79999999999995</v>
      </c>
      <c r="H17" s="305">
        <v>512.6</v>
      </c>
      <c r="I17" s="408"/>
      <c r="K17" s="391">
        <v>12</v>
      </c>
      <c r="L17" s="398">
        <v>2212</v>
      </c>
      <c r="M17" s="393" t="s">
        <v>27</v>
      </c>
      <c r="N17" s="394">
        <v>892.4</v>
      </c>
      <c r="O17" s="395">
        <v>634</v>
      </c>
      <c r="P17" s="396">
        <v>535.79999999999995</v>
      </c>
      <c r="Q17" s="305">
        <v>512.6</v>
      </c>
      <c r="R17" s="408"/>
      <c r="T17" s="391">
        <v>12</v>
      </c>
      <c r="U17" s="398">
        <v>2212</v>
      </c>
      <c r="V17" s="393" t="s">
        <v>27</v>
      </c>
      <c r="W17" s="394">
        <v>892.4</v>
      </c>
      <c r="X17" s="395">
        <v>634</v>
      </c>
      <c r="Y17" s="396">
        <v>535.79999999999995</v>
      </c>
      <c r="Z17" s="305">
        <v>512.6</v>
      </c>
      <c r="AA17" s="408"/>
      <c r="AC17" s="391">
        <v>12</v>
      </c>
      <c r="AD17" s="398">
        <v>2212</v>
      </c>
      <c r="AE17" s="393" t="s">
        <v>27</v>
      </c>
      <c r="AF17" s="394">
        <v>892.4</v>
      </c>
      <c r="AG17" s="395">
        <v>634</v>
      </c>
      <c r="AH17" s="396">
        <v>535.79999999999995</v>
      </c>
      <c r="AI17" s="305">
        <v>512.6</v>
      </c>
      <c r="AJ17" s="408"/>
      <c r="AL17" s="391">
        <v>12</v>
      </c>
      <c r="AM17" s="398">
        <v>2212</v>
      </c>
      <c r="AN17" s="393" t="s">
        <v>27</v>
      </c>
      <c r="AO17" s="394">
        <v>892.4</v>
      </c>
      <c r="AP17" s="395">
        <v>634</v>
      </c>
      <c r="AQ17" s="396">
        <v>535.79999999999995</v>
      </c>
      <c r="AR17" s="305">
        <v>512.6</v>
      </c>
      <c r="AS17" s="408"/>
      <c r="AU17" s="391">
        <v>12</v>
      </c>
      <c r="AV17" s="398">
        <v>2212</v>
      </c>
      <c r="AW17" s="393" t="s">
        <v>27</v>
      </c>
      <c r="AX17" s="394">
        <v>892.4</v>
      </c>
      <c r="AY17" s="395">
        <v>634</v>
      </c>
      <c r="AZ17" s="396">
        <v>535.79999999999995</v>
      </c>
      <c r="BA17" s="305">
        <v>512.6</v>
      </c>
      <c r="BB17" s="408"/>
    </row>
    <row r="18" spans="2:54" x14ac:dyDescent="0.2">
      <c r="B18" s="304">
        <v>13</v>
      </c>
      <c r="C18" s="398">
        <v>2759</v>
      </c>
      <c r="D18" s="393" t="s">
        <v>243</v>
      </c>
      <c r="E18" s="394">
        <v>836.1</v>
      </c>
      <c r="F18" s="395">
        <v>617.25</v>
      </c>
      <c r="G18" s="396">
        <v>536.54999999999995</v>
      </c>
      <c r="H18" s="305">
        <v>509.55</v>
      </c>
      <c r="I18" s="409"/>
      <c r="K18" s="304">
        <v>13</v>
      </c>
      <c r="L18" s="398">
        <v>2759</v>
      </c>
      <c r="M18" s="393" t="s">
        <v>243</v>
      </c>
      <c r="N18" s="394">
        <v>836.1</v>
      </c>
      <c r="O18" s="395">
        <v>617.25</v>
      </c>
      <c r="P18" s="396">
        <v>536.54999999999995</v>
      </c>
      <c r="Q18" s="305">
        <v>509.55</v>
      </c>
      <c r="R18" s="409"/>
      <c r="T18" s="304">
        <v>13</v>
      </c>
      <c r="U18" s="398">
        <v>2759</v>
      </c>
      <c r="V18" s="393" t="s">
        <v>243</v>
      </c>
      <c r="W18" s="394">
        <v>836.1</v>
      </c>
      <c r="X18" s="395">
        <v>617.25</v>
      </c>
      <c r="Y18" s="396">
        <v>536.54999999999995</v>
      </c>
      <c r="Z18" s="305">
        <v>509.55</v>
      </c>
      <c r="AA18" s="409"/>
      <c r="AC18" s="304">
        <v>13</v>
      </c>
      <c r="AD18" s="398">
        <v>2759</v>
      </c>
      <c r="AE18" s="393" t="s">
        <v>243</v>
      </c>
      <c r="AF18" s="394">
        <v>836.1</v>
      </c>
      <c r="AG18" s="395">
        <v>617.25</v>
      </c>
      <c r="AH18" s="396">
        <v>536.54999999999995</v>
      </c>
      <c r="AI18" s="305">
        <v>509.55</v>
      </c>
      <c r="AJ18" s="409"/>
      <c r="AL18" s="304">
        <v>13</v>
      </c>
      <c r="AM18" s="398">
        <v>2759</v>
      </c>
      <c r="AN18" s="393" t="s">
        <v>243</v>
      </c>
      <c r="AO18" s="394">
        <v>836.1</v>
      </c>
      <c r="AP18" s="395">
        <v>617.25</v>
      </c>
      <c r="AQ18" s="396">
        <v>536.54999999999995</v>
      </c>
      <c r="AR18" s="305">
        <v>509.55</v>
      </c>
      <c r="AS18" s="409"/>
      <c r="AU18" s="304">
        <v>13</v>
      </c>
      <c r="AV18" s="398">
        <v>2759</v>
      </c>
      <c r="AW18" s="393" t="s">
        <v>243</v>
      </c>
      <c r="AX18" s="394">
        <v>836.1</v>
      </c>
      <c r="AY18" s="395">
        <v>617.25</v>
      </c>
      <c r="AZ18" s="396">
        <v>536.54999999999995</v>
      </c>
      <c r="BA18" s="305">
        <v>509.55</v>
      </c>
      <c r="BB18" s="409"/>
    </row>
    <row r="19" spans="2:54" x14ac:dyDescent="0.2">
      <c r="B19" s="391">
        <v>14</v>
      </c>
      <c r="C19" s="398">
        <v>6714</v>
      </c>
      <c r="D19" s="393" t="s">
        <v>116</v>
      </c>
      <c r="E19" s="394">
        <v>860.58699999999999</v>
      </c>
      <c r="F19" s="395">
        <v>623.36400000000003</v>
      </c>
      <c r="G19" s="396">
        <v>539.83965000000001</v>
      </c>
      <c r="H19" s="305">
        <v>520.49249999999995</v>
      </c>
      <c r="I19" s="408" t="s">
        <v>239</v>
      </c>
      <c r="K19" s="391">
        <v>14</v>
      </c>
      <c r="L19" s="398">
        <v>6714</v>
      </c>
      <c r="M19" s="393" t="s">
        <v>116</v>
      </c>
      <c r="N19" s="394">
        <v>860.58699999999999</v>
      </c>
      <c r="O19" s="395">
        <v>623.36400000000003</v>
      </c>
      <c r="P19" s="396">
        <v>539.83965000000001</v>
      </c>
      <c r="Q19" s="305">
        <v>520.49249999999995</v>
      </c>
      <c r="R19" s="408" t="s">
        <v>239</v>
      </c>
      <c r="T19" s="391">
        <v>14</v>
      </c>
      <c r="U19" s="398">
        <v>6714</v>
      </c>
      <c r="V19" s="393" t="s">
        <v>116</v>
      </c>
      <c r="W19" s="394">
        <v>860.58699999999999</v>
      </c>
      <c r="X19" s="395">
        <v>623.36400000000003</v>
      </c>
      <c r="Y19" s="396">
        <v>539.83965000000001</v>
      </c>
      <c r="Z19" s="305">
        <v>520.49249999999995</v>
      </c>
      <c r="AA19" s="408" t="s">
        <v>239</v>
      </c>
      <c r="AC19" s="391">
        <v>14</v>
      </c>
      <c r="AD19" s="398">
        <v>6714</v>
      </c>
      <c r="AE19" s="393" t="s">
        <v>116</v>
      </c>
      <c r="AF19" s="394">
        <v>860.58699999999999</v>
      </c>
      <c r="AG19" s="395">
        <v>623.36400000000003</v>
      </c>
      <c r="AH19" s="396">
        <v>539.83965000000001</v>
      </c>
      <c r="AI19" s="305">
        <v>520.49249999999995</v>
      </c>
      <c r="AJ19" s="408" t="s">
        <v>239</v>
      </c>
      <c r="AL19" s="391">
        <v>14</v>
      </c>
      <c r="AM19" s="398">
        <v>6714</v>
      </c>
      <c r="AN19" s="393" t="s">
        <v>116</v>
      </c>
      <c r="AO19" s="394">
        <v>860.58699999999999</v>
      </c>
      <c r="AP19" s="395">
        <v>623.36400000000003</v>
      </c>
      <c r="AQ19" s="396">
        <v>539.83965000000001</v>
      </c>
      <c r="AR19" s="305">
        <v>520.49249999999995</v>
      </c>
      <c r="AS19" s="408" t="s">
        <v>239</v>
      </c>
      <c r="AU19" s="391">
        <v>14</v>
      </c>
      <c r="AV19" s="398">
        <v>6714</v>
      </c>
      <c r="AW19" s="393" t="s">
        <v>116</v>
      </c>
      <c r="AX19" s="394">
        <v>860.58699999999999</v>
      </c>
      <c r="AY19" s="395">
        <v>623.36400000000003</v>
      </c>
      <c r="AZ19" s="396">
        <v>539.83965000000001</v>
      </c>
      <c r="BA19" s="305">
        <v>520.49249999999995</v>
      </c>
      <c r="BB19" s="408" t="s">
        <v>239</v>
      </c>
    </row>
    <row r="20" spans="2:54" x14ac:dyDescent="0.2">
      <c r="B20" s="304">
        <v>15</v>
      </c>
      <c r="C20" s="398">
        <v>346</v>
      </c>
      <c r="D20" s="393" t="s">
        <v>205</v>
      </c>
      <c r="E20" s="394">
        <v>849.85</v>
      </c>
      <c r="F20" s="395">
        <v>614.4</v>
      </c>
      <c r="G20" s="396">
        <v>540.6</v>
      </c>
      <c r="H20" s="305">
        <v>519.29999999999995</v>
      </c>
      <c r="I20" s="408"/>
      <c r="K20" s="304">
        <v>15</v>
      </c>
      <c r="L20" s="398">
        <v>346</v>
      </c>
      <c r="M20" s="393" t="s">
        <v>205</v>
      </c>
      <c r="N20" s="394">
        <v>849.85</v>
      </c>
      <c r="O20" s="395">
        <v>614.4</v>
      </c>
      <c r="P20" s="396">
        <v>540.6</v>
      </c>
      <c r="Q20" s="305">
        <v>519.29999999999995</v>
      </c>
      <c r="R20" s="408"/>
      <c r="T20" s="304">
        <v>15</v>
      </c>
      <c r="U20" s="398">
        <v>346</v>
      </c>
      <c r="V20" s="393" t="s">
        <v>205</v>
      </c>
      <c r="W20" s="394">
        <v>849.85</v>
      </c>
      <c r="X20" s="395">
        <v>614.4</v>
      </c>
      <c r="Y20" s="396">
        <v>540.6</v>
      </c>
      <c r="Z20" s="305">
        <v>519.29999999999995</v>
      </c>
      <c r="AA20" s="408"/>
      <c r="AC20" s="304">
        <v>15</v>
      </c>
      <c r="AD20" s="398">
        <v>346</v>
      </c>
      <c r="AE20" s="393" t="s">
        <v>205</v>
      </c>
      <c r="AF20" s="394">
        <v>849.85</v>
      </c>
      <c r="AG20" s="395">
        <v>614.4</v>
      </c>
      <c r="AH20" s="396">
        <v>540.6</v>
      </c>
      <c r="AI20" s="305">
        <v>519.29999999999995</v>
      </c>
      <c r="AJ20" s="408"/>
      <c r="AL20" s="304">
        <v>15</v>
      </c>
      <c r="AM20" s="398">
        <v>346</v>
      </c>
      <c r="AN20" s="393" t="s">
        <v>205</v>
      </c>
      <c r="AO20" s="394">
        <v>849.85</v>
      </c>
      <c r="AP20" s="395">
        <v>614.4</v>
      </c>
      <c r="AQ20" s="396">
        <v>540.6</v>
      </c>
      <c r="AR20" s="305">
        <v>519.29999999999995</v>
      </c>
      <c r="AS20" s="408"/>
      <c r="AU20" s="304">
        <v>15</v>
      </c>
      <c r="AV20" s="398">
        <v>346</v>
      </c>
      <c r="AW20" s="393" t="s">
        <v>205</v>
      </c>
      <c r="AX20" s="394">
        <v>849.85</v>
      </c>
      <c r="AY20" s="395">
        <v>614.4</v>
      </c>
      <c r="AZ20" s="396">
        <v>540.6</v>
      </c>
      <c r="BA20" s="305">
        <v>519.29999999999995</v>
      </c>
      <c r="BB20" s="408"/>
    </row>
    <row r="21" spans="2:54" x14ac:dyDescent="0.2">
      <c r="B21" s="391">
        <v>16</v>
      </c>
      <c r="C21" s="398">
        <v>5854</v>
      </c>
      <c r="D21" s="393" t="s">
        <v>160</v>
      </c>
      <c r="E21" s="394">
        <v>828.1</v>
      </c>
      <c r="F21" s="395">
        <v>618.34559999999999</v>
      </c>
      <c r="G21" s="396">
        <v>541.51755000000003</v>
      </c>
      <c r="H21" s="305">
        <v>517.077</v>
      </c>
      <c r="I21" s="408" t="s">
        <v>239</v>
      </c>
      <c r="K21" s="391">
        <v>16</v>
      </c>
      <c r="L21" s="398">
        <v>5854</v>
      </c>
      <c r="M21" s="393" t="s">
        <v>160</v>
      </c>
      <c r="N21" s="394">
        <v>828.1</v>
      </c>
      <c r="O21" s="395">
        <v>618.34559999999999</v>
      </c>
      <c r="P21" s="396">
        <v>541.51755000000003</v>
      </c>
      <c r="Q21" s="305">
        <v>517.077</v>
      </c>
      <c r="R21" s="408" t="s">
        <v>239</v>
      </c>
      <c r="T21" s="391">
        <v>16</v>
      </c>
      <c r="U21" s="398">
        <v>5854</v>
      </c>
      <c r="V21" s="393" t="s">
        <v>160</v>
      </c>
      <c r="W21" s="394">
        <v>828.1</v>
      </c>
      <c r="X21" s="395">
        <v>618.34559999999999</v>
      </c>
      <c r="Y21" s="396">
        <v>541.51755000000003</v>
      </c>
      <c r="Z21" s="305">
        <v>517.077</v>
      </c>
      <c r="AA21" s="408" t="s">
        <v>239</v>
      </c>
      <c r="AC21" s="391">
        <v>16</v>
      </c>
      <c r="AD21" s="398">
        <v>5854</v>
      </c>
      <c r="AE21" s="393" t="s">
        <v>160</v>
      </c>
      <c r="AF21" s="394">
        <v>828.1</v>
      </c>
      <c r="AG21" s="395">
        <v>618.34559999999999</v>
      </c>
      <c r="AH21" s="396">
        <v>541.51755000000003</v>
      </c>
      <c r="AI21" s="305">
        <v>517.077</v>
      </c>
      <c r="AJ21" s="408" t="s">
        <v>239</v>
      </c>
      <c r="AL21" s="391">
        <v>16</v>
      </c>
      <c r="AM21" s="398">
        <v>5854</v>
      </c>
      <c r="AN21" s="393" t="s">
        <v>160</v>
      </c>
      <c r="AO21" s="394">
        <v>828.1</v>
      </c>
      <c r="AP21" s="395">
        <v>618.34559999999999</v>
      </c>
      <c r="AQ21" s="396">
        <v>541.51755000000003</v>
      </c>
      <c r="AR21" s="305">
        <v>517.077</v>
      </c>
      <c r="AS21" s="408" t="s">
        <v>239</v>
      </c>
      <c r="AU21" s="391">
        <v>16</v>
      </c>
      <c r="AV21" s="398">
        <v>5854</v>
      </c>
      <c r="AW21" s="393" t="s">
        <v>160</v>
      </c>
      <c r="AX21" s="394">
        <v>828.1</v>
      </c>
      <c r="AY21" s="395">
        <v>618.34559999999999</v>
      </c>
      <c r="AZ21" s="396">
        <v>541.51755000000003</v>
      </c>
      <c r="BA21" s="305">
        <v>517.077</v>
      </c>
      <c r="BB21" s="408" t="s">
        <v>239</v>
      </c>
    </row>
    <row r="22" spans="2:54" x14ac:dyDescent="0.2">
      <c r="B22" s="304">
        <v>17</v>
      </c>
      <c r="C22" s="398">
        <v>1403</v>
      </c>
      <c r="D22" s="393" t="s">
        <v>117</v>
      </c>
      <c r="E22" s="394">
        <v>879.45</v>
      </c>
      <c r="F22" s="395">
        <v>636.6</v>
      </c>
      <c r="G22" s="396">
        <v>541.6</v>
      </c>
      <c r="H22" s="305">
        <v>519.54999999999995</v>
      </c>
      <c r="I22" s="408"/>
      <c r="K22" s="304">
        <v>17</v>
      </c>
      <c r="L22" s="398">
        <v>1403</v>
      </c>
      <c r="M22" s="393" t="s">
        <v>117</v>
      </c>
      <c r="N22" s="394">
        <v>879.45</v>
      </c>
      <c r="O22" s="395">
        <v>636.6</v>
      </c>
      <c r="P22" s="396">
        <v>541.6</v>
      </c>
      <c r="Q22" s="305">
        <v>519.54999999999995</v>
      </c>
      <c r="R22" s="408"/>
      <c r="T22" s="304">
        <v>17</v>
      </c>
      <c r="U22" s="398">
        <v>1403</v>
      </c>
      <c r="V22" s="393" t="s">
        <v>117</v>
      </c>
      <c r="W22" s="394">
        <v>879.45</v>
      </c>
      <c r="X22" s="395">
        <v>636.6</v>
      </c>
      <c r="Y22" s="396">
        <v>541.6</v>
      </c>
      <c r="Z22" s="305">
        <v>519.54999999999995</v>
      </c>
      <c r="AA22" s="408"/>
      <c r="AC22" s="304">
        <v>17</v>
      </c>
      <c r="AD22" s="398">
        <v>1403</v>
      </c>
      <c r="AE22" s="393" t="s">
        <v>117</v>
      </c>
      <c r="AF22" s="394">
        <v>879.45</v>
      </c>
      <c r="AG22" s="395">
        <v>636.6</v>
      </c>
      <c r="AH22" s="396">
        <v>541.6</v>
      </c>
      <c r="AI22" s="305">
        <v>519.54999999999995</v>
      </c>
      <c r="AJ22" s="408"/>
      <c r="AL22" s="304">
        <v>17</v>
      </c>
      <c r="AM22" s="398">
        <v>1403</v>
      </c>
      <c r="AN22" s="393" t="s">
        <v>117</v>
      </c>
      <c r="AO22" s="394">
        <v>879.45</v>
      </c>
      <c r="AP22" s="395">
        <v>636.6</v>
      </c>
      <c r="AQ22" s="396">
        <v>541.6</v>
      </c>
      <c r="AR22" s="305">
        <v>519.54999999999995</v>
      </c>
      <c r="AS22" s="408"/>
      <c r="AU22" s="304">
        <v>17</v>
      </c>
      <c r="AV22" s="398">
        <v>1403</v>
      </c>
      <c r="AW22" s="393" t="s">
        <v>117</v>
      </c>
      <c r="AX22" s="394">
        <v>879.45</v>
      </c>
      <c r="AY22" s="395">
        <v>636.6</v>
      </c>
      <c r="AZ22" s="396">
        <v>541.6</v>
      </c>
      <c r="BA22" s="305">
        <v>519.54999999999995</v>
      </c>
      <c r="BB22" s="408"/>
    </row>
    <row r="23" spans="2:54" x14ac:dyDescent="0.2">
      <c r="B23" s="391">
        <v>18</v>
      </c>
      <c r="C23" s="398">
        <v>5496</v>
      </c>
      <c r="D23" s="393" t="s">
        <v>162</v>
      </c>
      <c r="E23" s="394">
        <v>868</v>
      </c>
      <c r="F23" s="395">
        <v>632.54999999999995</v>
      </c>
      <c r="G23" s="396">
        <v>542.70000000000005</v>
      </c>
      <c r="H23" s="305">
        <v>515.75</v>
      </c>
      <c r="I23" s="408"/>
      <c r="K23" s="391">
        <v>18</v>
      </c>
      <c r="L23" s="398">
        <v>5496</v>
      </c>
      <c r="M23" s="393" t="s">
        <v>162</v>
      </c>
      <c r="N23" s="394">
        <v>868</v>
      </c>
      <c r="O23" s="395">
        <v>632.54999999999995</v>
      </c>
      <c r="P23" s="396">
        <v>542.70000000000005</v>
      </c>
      <c r="Q23" s="305">
        <v>515.75</v>
      </c>
      <c r="R23" s="408"/>
      <c r="T23" s="391">
        <v>18</v>
      </c>
      <c r="U23" s="398">
        <v>5496</v>
      </c>
      <c r="V23" s="393" t="s">
        <v>162</v>
      </c>
      <c r="W23" s="394">
        <v>868</v>
      </c>
      <c r="X23" s="395">
        <v>632.54999999999995</v>
      </c>
      <c r="Y23" s="396">
        <v>542.70000000000005</v>
      </c>
      <c r="Z23" s="305">
        <v>515.75</v>
      </c>
      <c r="AA23" s="408"/>
      <c r="AC23" s="391">
        <v>18</v>
      </c>
      <c r="AD23" s="398">
        <v>5496</v>
      </c>
      <c r="AE23" s="393" t="s">
        <v>162</v>
      </c>
      <c r="AF23" s="394">
        <v>868</v>
      </c>
      <c r="AG23" s="395">
        <v>632.54999999999995</v>
      </c>
      <c r="AH23" s="396">
        <v>542.70000000000005</v>
      </c>
      <c r="AI23" s="305">
        <v>515.75</v>
      </c>
      <c r="AJ23" s="408"/>
      <c r="AL23" s="391">
        <v>18</v>
      </c>
      <c r="AM23" s="398">
        <v>5496</v>
      </c>
      <c r="AN23" s="393" t="s">
        <v>162</v>
      </c>
      <c r="AO23" s="394">
        <v>868</v>
      </c>
      <c r="AP23" s="395">
        <v>632.54999999999995</v>
      </c>
      <c r="AQ23" s="396">
        <v>542.70000000000005</v>
      </c>
      <c r="AR23" s="305">
        <v>515.75</v>
      </c>
      <c r="AS23" s="408"/>
      <c r="AU23" s="391">
        <v>18</v>
      </c>
      <c r="AV23" s="398">
        <v>5496</v>
      </c>
      <c r="AW23" s="393" t="s">
        <v>162</v>
      </c>
      <c r="AX23" s="394">
        <v>868</v>
      </c>
      <c r="AY23" s="395">
        <v>632.54999999999995</v>
      </c>
      <c r="AZ23" s="396">
        <v>542.70000000000005</v>
      </c>
      <c r="BA23" s="305">
        <v>515.75</v>
      </c>
      <c r="BB23" s="408"/>
    </row>
    <row r="24" spans="2:54" x14ac:dyDescent="0.2">
      <c r="B24" s="304">
        <v>19</v>
      </c>
      <c r="C24" s="398">
        <v>150</v>
      </c>
      <c r="D24" s="393" t="s">
        <v>161</v>
      </c>
      <c r="E24" s="394">
        <v>844.07399999999996</v>
      </c>
      <c r="F24" s="395">
        <v>622.33079999999995</v>
      </c>
      <c r="G24" s="396">
        <v>543.88634999999999</v>
      </c>
      <c r="H24" s="305">
        <v>519.75</v>
      </c>
      <c r="I24" s="408" t="s">
        <v>239</v>
      </c>
      <c r="K24" s="304">
        <v>19</v>
      </c>
      <c r="L24" s="398">
        <v>150</v>
      </c>
      <c r="M24" s="393" t="s">
        <v>161</v>
      </c>
      <c r="N24" s="645">
        <v>850.54200000000003</v>
      </c>
      <c r="O24" s="645">
        <v>626.11919999999998</v>
      </c>
      <c r="P24" s="645">
        <v>545.90970000000004</v>
      </c>
      <c r="Q24" s="645">
        <v>519.255</v>
      </c>
      <c r="R24" s="408" t="s">
        <v>239</v>
      </c>
      <c r="T24" s="304">
        <v>19</v>
      </c>
      <c r="U24" s="398">
        <v>150</v>
      </c>
      <c r="V24" s="393" t="s">
        <v>161</v>
      </c>
      <c r="W24" s="553">
        <v>844.07399999999996</v>
      </c>
      <c r="X24" s="554">
        <v>622.33079999999995</v>
      </c>
      <c r="Y24" s="555">
        <v>543.88634999999999</v>
      </c>
      <c r="Z24" s="556">
        <v>519.75</v>
      </c>
      <c r="AA24" s="408" t="s">
        <v>239</v>
      </c>
      <c r="AC24" s="304">
        <v>19</v>
      </c>
      <c r="AD24" s="398">
        <v>150</v>
      </c>
      <c r="AE24" s="393" t="s">
        <v>161</v>
      </c>
      <c r="AF24" s="394">
        <v>844.07399999999996</v>
      </c>
      <c r="AG24" s="395">
        <v>622.33079999999995</v>
      </c>
      <c r="AH24" s="396">
        <v>543.88634999999999</v>
      </c>
      <c r="AI24" s="305">
        <v>519.75</v>
      </c>
      <c r="AJ24" s="408" t="s">
        <v>239</v>
      </c>
      <c r="AL24" s="304">
        <v>19</v>
      </c>
      <c r="AM24" s="398">
        <v>150</v>
      </c>
      <c r="AN24" s="393" t="s">
        <v>161</v>
      </c>
      <c r="AO24" s="394">
        <v>844.07399999999996</v>
      </c>
      <c r="AP24" s="395">
        <v>622.33079999999995</v>
      </c>
      <c r="AQ24" s="396">
        <v>543.88634999999999</v>
      </c>
      <c r="AR24" s="305">
        <v>519.75</v>
      </c>
      <c r="AS24" s="408" t="s">
        <v>239</v>
      </c>
      <c r="AU24" s="304">
        <v>19</v>
      </c>
      <c r="AV24" s="398">
        <v>150</v>
      </c>
      <c r="AW24" s="393" t="s">
        <v>161</v>
      </c>
      <c r="AX24" s="394">
        <v>844.07399999999996</v>
      </c>
      <c r="AY24" s="395">
        <v>622.33079999999995</v>
      </c>
      <c r="AZ24" s="396">
        <v>543.88634999999999</v>
      </c>
      <c r="BA24" s="305">
        <v>519.75</v>
      </c>
      <c r="BB24" s="408" t="s">
        <v>239</v>
      </c>
    </row>
    <row r="25" spans="2:54" x14ac:dyDescent="0.2">
      <c r="B25" s="391">
        <v>20</v>
      </c>
      <c r="C25" s="398">
        <v>6971</v>
      </c>
      <c r="D25" s="393" t="s">
        <v>273</v>
      </c>
      <c r="E25" s="394">
        <v>851.25</v>
      </c>
      <c r="F25" s="395">
        <v>625.25</v>
      </c>
      <c r="G25" s="396">
        <v>544.45000000000005</v>
      </c>
      <c r="H25" s="305">
        <v>517.65</v>
      </c>
      <c r="I25" s="408"/>
      <c r="K25" s="391">
        <v>20</v>
      </c>
      <c r="L25" s="398">
        <v>6971</v>
      </c>
      <c r="M25" s="393" t="s">
        <v>273</v>
      </c>
      <c r="N25" s="394">
        <v>851.25</v>
      </c>
      <c r="O25" s="395">
        <v>625.25</v>
      </c>
      <c r="P25" s="396">
        <v>544.45000000000005</v>
      </c>
      <c r="Q25" s="305">
        <v>517.65</v>
      </c>
      <c r="R25" s="408"/>
      <c r="T25" s="391">
        <v>20</v>
      </c>
      <c r="U25" s="398">
        <v>6971</v>
      </c>
      <c r="V25" s="393" t="s">
        <v>273</v>
      </c>
      <c r="W25" s="394">
        <v>851.25</v>
      </c>
      <c r="X25" s="395">
        <v>625.25</v>
      </c>
      <c r="Y25" s="396">
        <v>544.45000000000005</v>
      </c>
      <c r="Z25" s="305">
        <v>517.65</v>
      </c>
      <c r="AA25" s="408"/>
      <c r="AC25" s="391">
        <v>20</v>
      </c>
      <c r="AD25" s="398">
        <v>6971</v>
      </c>
      <c r="AE25" s="393" t="s">
        <v>273</v>
      </c>
      <c r="AF25" s="394">
        <v>851.25</v>
      </c>
      <c r="AG25" s="395">
        <v>625.25</v>
      </c>
      <c r="AH25" s="396">
        <v>544.45000000000005</v>
      </c>
      <c r="AI25" s="305">
        <v>517.65</v>
      </c>
      <c r="AJ25" s="408"/>
      <c r="AL25" s="391">
        <v>20</v>
      </c>
      <c r="AM25" s="398">
        <v>6971</v>
      </c>
      <c r="AN25" s="393" t="s">
        <v>273</v>
      </c>
      <c r="AO25" s="394">
        <v>851.25</v>
      </c>
      <c r="AP25" s="395">
        <v>625.25</v>
      </c>
      <c r="AQ25" s="396">
        <v>544.45000000000005</v>
      </c>
      <c r="AR25" s="305">
        <v>517.65</v>
      </c>
      <c r="AS25" s="408"/>
      <c r="AU25" s="391">
        <v>20</v>
      </c>
      <c r="AV25" s="398">
        <v>6971</v>
      </c>
      <c r="AW25" s="393" t="s">
        <v>273</v>
      </c>
      <c r="AX25" s="394">
        <v>851.25</v>
      </c>
      <c r="AY25" s="395">
        <v>625.25</v>
      </c>
      <c r="AZ25" s="396">
        <v>544.45000000000005</v>
      </c>
      <c r="BA25" s="305">
        <v>517.65</v>
      </c>
      <c r="BB25" s="408"/>
    </row>
    <row r="26" spans="2:54" x14ac:dyDescent="0.2">
      <c r="B26" s="304">
        <v>21</v>
      </c>
      <c r="C26" s="398">
        <v>3387</v>
      </c>
      <c r="D26" s="393" t="s">
        <v>118</v>
      </c>
      <c r="E26" s="394">
        <v>847.30799999999999</v>
      </c>
      <c r="F26" s="395">
        <v>626.36519999999996</v>
      </c>
      <c r="G26" s="396">
        <v>546.40319999999997</v>
      </c>
      <c r="H26" s="305">
        <v>521.63099999999997</v>
      </c>
      <c r="I26" s="408" t="s">
        <v>239</v>
      </c>
      <c r="K26" s="304">
        <v>21</v>
      </c>
      <c r="L26" s="398">
        <v>3387</v>
      </c>
      <c r="M26" s="393" t="s">
        <v>118</v>
      </c>
      <c r="N26" s="394">
        <v>847.30799999999999</v>
      </c>
      <c r="O26" s="395">
        <v>626.36519999999996</v>
      </c>
      <c r="P26" s="396">
        <v>546.40319999999997</v>
      </c>
      <c r="Q26" s="305">
        <v>521.63099999999997</v>
      </c>
      <c r="R26" s="408" t="s">
        <v>239</v>
      </c>
      <c r="T26" s="304">
        <v>21</v>
      </c>
      <c r="U26" s="398">
        <v>3387</v>
      </c>
      <c r="V26" s="393" t="s">
        <v>118</v>
      </c>
      <c r="W26" s="394">
        <v>847.30799999999999</v>
      </c>
      <c r="X26" s="395">
        <v>626.36519999999996</v>
      </c>
      <c r="Y26" s="396">
        <v>546.40319999999997</v>
      </c>
      <c r="Z26" s="305">
        <v>521.63099999999997</v>
      </c>
      <c r="AA26" s="408" t="s">
        <v>239</v>
      </c>
      <c r="AC26" s="304">
        <v>21</v>
      </c>
      <c r="AD26" s="398">
        <v>3387</v>
      </c>
      <c r="AE26" s="393" t="s">
        <v>118</v>
      </c>
      <c r="AF26" s="394">
        <v>847.30799999999999</v>
      </c>
      <c r="AG26" s="395">
        <v>626.36519999999996</v>
      </c>
      <c r="AH26" s="396">
        <v>546.40319999999997</v>
      </c>
      <c r="AI26" s="305">
        <v>521.63099999999997</v>
      </c>
      <c r="AJ26" s="408" t="s">
        <v>239</v>
      </c>
      <c r="AL26" s="304">
        <v>21</v>
      </c>
      <c r="AM26" s="398">
        <v>3387</v>
      </c>
      <c r="AN26" s="393" t="s">
        <v>118</v>
      </c>
      <c r="AO26" s="394">
        <v>847.30799999999999</v>
      </c>
      <c r="AP26" s="395">
        <v>626.36519999999996</v>
      </c>
      <c r="AQ26" s="396">
        <v>546.40319999999997</v>
      </c>
      <c r="AR26" s="305">
        <v>521.63099999999997</v>
      </c>
      <c r="AS26" s="408" t="s">
        <v>239</v>
      </c>
      <c r="AU26" s="304">
        <v>21</v>
      </c>
      <c r="AV26" s="398">
        <v>3387</v>
      </c>
      <c r="AW26" s="393" t="s">
        <v>118</v>
      </c>
      <c r="AX26" s="394">
        <v>847.30799999999999</v>
      </c>
      <c r="AY26" s="395">
        <v>626.36519999999996</v>
      </c>
      <c r="AZ26" s="396">
        <v>546.40319999999997</v>
      </c>
      <c r="BA26" s="305">
        <v>521.63099999999997</v>
      </c>
      <c r="BB26" s="408" t="s">
        <v>239</v>
      </c>
    </row>
    <row r="27" spans="2:54" x14ac:dyDescent="0.2">
      <c r="B27" s="391">
        <v>22</v>
      </c>
      <c r="C27" s="398">
        <v>162</v>
      </c>
      <c r="D27" s="393" t="s">
        <v>244</v>
      </c>
      <c r="E27" s="394">
        <v>864.15</v>
      </c>
      <c r="F27" s="395">
        <v>633.29999999999995</v>
      </c>
      <c r="G27" s="396">
        <v>547.54999999999995</v>
      </c>
      <c r="H27" s="305">
        <v>522.5</v>
      </c>
      <c r="I27" s="408"/>
      <c r="K27" s="391">
        <v>22</v>
      </c>
      <c r="L27" s="398">
        <v>162</v>
      </c>
      <c r="M27" s="393" t="s">
        <v>244</v>
      </c>
      <c r="N27" s="394">
        <v>864.15</v>
      </c>
      <c r="O27" s="395">
        <v>633.29999999999995</v>
      </c>
      <c r="P27" s="396">
        <v>547.54999999999995</v>
      </c>
      <c r="Q27" s="305">
        <v>522.5</v>
      </c>
      <c r="R27" s="408"/>
      <c r="T27" s="391">
        <v>22</v>
      </c>
      <c r="U27" s="398">
        <v>162</v>
      </c>
      <c r="V27" s="393" t="s">
        <v>244</v>
      </c>
      <c r="W27" s="394">
        <v>864.15</v>
      </c>
      <c r="X27" s="395">
        <v>633.29999999999995</v>
      </c>
      <c r="Y27" s="396">
        <v>547.54999999999995</v>
      </c>
      <c r="Z27" s="305">
        <v>522.5</v>
      </c>
      <c r="AA27" s="408"/>
      <c r="AC27" s="391">
        <v>22</v>
      </c>
      <c r="AD27" s="398">
        <v>162</v>
      </c>
      <c r="AE27" s="393" t="s">
        <v>244</v>
      </c>
      <c r="AF27" s="394">
        <v>864.15</v>
      </c>
      <c r="AG27" s="395">
        <v>633.29999999999995</v>
      </c>
      <c r="AH27" s="396">
        <v>547.54999999999995</v>
      </c>
      <c r="AI27" s="305">
        <v>522.5</v>
      </c>
      <c r="AJ27" s="408"/>
      <c r="AL27" s="391">
        <v>22</v>
      </c>
      <c r="AM27" s="398">
        <v>162</v>
      </c>
      <c r="AN27" s="393" t="s">
        <v>244</v>
      </c>
      <c r="AO27" s="394">
        <v>864.15</v>
      </c>
      <c r="AP27" s="395">
        <v>633.29999999999995</v>
      </c>
      <c r="AQ27" s="396">
        <v>547.54999999999995</v>
      </c>
      <c r="AR27" s="305">
        <v>522.5</v>
      </c>
      <c r="AS27" s="408"/>
      <c r="AU27" s="391">
        <v>22</v>
      </c>
      <c r="AV27" s="398">
        <v>162</v>
      </c>
      <c r="AW27" s="393" t="s">
        <v>244</v>
      </c>
      <c r="AX27" s="394">
        <v>864.15</v>
      </c>
      <c r="AY27" s="395">
        <v>633.29999999999995</v>
      </c>
      <c r="AZ27" s="396">
        <v>547.54999999999995</v>
      </c>
      <c r="BA27" s="305">
        <v>522.5</v>
      </c>
      <c r="BB27" s="408"/>
    </row>
    <row r="28" spans="2:54" x14ac:dyDescent="0.2">
      <c r="B28" s="304">
        <v>23</v>
      </c>
      <c r="C28" s="398">
        <v>6732</v>
      </c>
      <c r="D28" s="393" t="s">
        <v>29</v>
      </c>
      <c r="E28" s="394">
        <v>847.95</v>
      </c>
      <c r="F28" s="395">
        <v>621.35</v>
      </c>
      <c r="G28" s="396">
        <v>547.65</v>
      </c>
      <c r="H28" s="305">
        <v>523.75</v>
      </c>
      <c r="I28" s="408"/>
      <c r="K28" s="304">
        <v>23</v>
      </c>
      <c r="L28" s="398">
        <v>6732</v>
      </c>
      <c r="M28" s="393" t="s">
        <v>29</v>
      </c>
      <c r="N28" s="394">
        <v>847.95</v>
      </c>
      <c r="O28" s="395">
        <v>621.35</v>
      </c>
      <c r="P28" s="396">
        <v>547.65</v>
      </c>
      <c r="Q28" s="305">
        <v>523.75</v>
      </c>
      <c r="R28" s="408"/>
      <c r="T28" s="304">
        <v>23</v>
      </c>
      <c r="U28" s="398">
        <v>6732</v>
      </c>
      <c r="V28" s="393" t="s">
        <v>29</v>
      </c>
      <c r="W28" s="394">
        <v>847.95</v>
      </c>
      <c r="X28" s="395">
        <v>621.35</v>
      </c>
      <c r="Y28" s="396">
        <v>547.65</v>
      </c>
      <c r="Z28" s="305">
        <v>523.75</v>
      </c>
      <c r="AA28" s="408"/>
      <c r="AC28" s="304">
        <v>23</v>
      </c>
      <c r="AD28" s="398">
        <v>6732</v>
      </c>
      <c r="AE28" s="393" t="s">
        <v>29</v>
      </c>
      <c r="AF28" s="394">
        <v>847.95</v>
      </c>
      <c r="AG28" s="395">
        <v>621.35</v>
      </c>
      <c r="AH28" s="396">
        <v>547.65</v>
      </c>
      <c r="AI28" s="305">
        <v>523.75</v>
      </c>
      <c r="AJ28" s="408"/>
      <c r="AL28" s="304">
        <v>23</v>
      </c>
      <c r="AM28" s="398">
        <v>6732</v>
      </c>
      <c r="AN28" s="393" t="s">
        <v>29</v>
      </c>
      <c r="AO28" s="394">
        <v>847.95</v>
      </c>
      <c r="AP28" s="395">
        <v>621.35</v>
      </c>
      <c r="AQ28" s="396">
        <v>547.65</v>
      </c>
      <c r="AR28" s="305">
        <v>523.75</v>
      </c>
      <c r="AS28" s="408"/>
      <c r="AU28" s="304">
        <v>23</v>
      </c>
      <c r="AV28" s="398">
        <v>6732</v>
      </c>
      <c r="AW28" s="393" t="s">
        <v>29</v>
      </c>
      <c r="AX28" s="394">
        <v>847.95</v>
      </c>
      <c r="AY28" s="395">
        <v>621.35</v>
      </c>
      <c r="AZ28" s="396">
        <v>547.65</v>
      </c>
      <c r="BA28" s="305">
        <v>523.75</v>
      </c>
      <c r="BB28" s="408"/>
    </row>
    <row r="29" spans="2:54" x14ac:dyDescent="0.2">
      <c r="B29" s="391">
        <v>24</v>
      </c>
      <c r="C29" s="398">
        <v>6735</v>
      </c>
      <c r="D29" s="393" t="s">
        <v>206</v>
      </c>
      <c r="E29" s="394">
        <v>852.9</v>
      </c>
      <c r="F29" s="395">
        <v>623.65</v>
      </c>
      <c r="G29" s="396">
        <v>549.6</v>
      </c>
      <c r="H29" s="305">
        <v>525.15</v>
      </c>
      <c r="I29" s="408"/>
      <c r="K29" s="391">
        <v>24</v>
      </c>
      <c r="L29" s="398">
        <v>6735</v>
      </c>
      <c r="M29" s="393" t="s">
        <v>206</v>
      </c>
      <c r="N29" s="394">
        <v>852.9</v>
      </c>
      <c r="O29" s="395">
        <v>623.65</v>
      </c>
      <c r="P29" s="396">
        <v>549.6</v>
      </c>
      <c r="Q29" s="305">
        <v>525.15</v>
      </c>
      <c r="R29" s="408"/>
      <c r="T29" s="391">
        <v>24</v>
      </c>
      <c r="U29" s="398">
        <v>6735</v>
      </c>
      <c r="V29" s="393" t="s">
        <v>206</v>
      </c>
      <c r="W29" s="394">
        <v>852.9</v>
      </c>
      <c r="X29" s="395">
        <v>623.65</v>
      </c>
      <c r="Y29" s="396">
        <v>549.6</v>
      </c>
      <c r="Z29" s="305">
        <v>525.15</v>
      </c>
      <c r="AA29" s="408"/>
      <c r="AC29" s="391">
        <v>24</v>
      </c>
      <c r="AD29" s="398">
        <v>6735</v>
      </c>
      <c r="AE29" s="393" t="s">
        <v>206</v>
      </c>
      <c r="AF29" s="394">
        <v>852.9</v>
      </c>
      <c r="AG29" s="395">
        <v>623.65</v>
      </c>
      <c r="AH29" s="396">
        <v>549.6</v>
      </c>
      <c r="AI29" s="305">
        <v>525.15</v>
      </c>
      <c r="AJ29" s="408"/>
      <c r="AL29" s="391">
        <v>24</v>
      </c>
      <c r="AM29" s="398">
        <v>6735</v>
      </c>
      <c r="AN29" s="393" t="s">
        <v>206</v>
      </c>
      <c r="AO29" s="394">
        <v>852.9</v>
      </c>
      <c r="AP29" s="395">
        <v>623.65</v>
      </c>
      <c r="AQ29" s="396">
        <v>549.6</v>
      </c>
      <c r="AR29" s="305">
        <v>525.15</v>
      </c>
      <c r="AS29" s="408"/>
      <c r="AU29" s="391">
        <v>24</v>
      </c>
      <c r="AV29" s="398">
        <v>6735</v>
      </c>
      <c r="AW29" s="393" t="s">
        <v>206</v>
      </c>
      <c r="AX29" s="394">
        <v>852.9</v>
      </c>
      <c r="AY29" s="395">
        <v>623.65</v>
      </c>
      <c r="AZ29" s="396">
        <v>549.6</v>
      </c>
      <c r="BA29" s="305">
        <v>525.15</v>
      </c>
      <c r="BB29" s="408"/>
    </row>
    <row r="30" spans="2:54" x14ac:dyDescent="0.2">
      <c r="B30" s="304">
        <v>25</v>
      </c>
      <c r="C30" s="398">
        <v>4071</v>
      </c>
      <c r="D30" s="393" t="s">
        <v>207</v>
      </c>
      <c r="E30" s="394">
        <v>917.35</v>
      </c>
      <c r="F30" s="395">
        <v>654.9</v>
      </c>
      <c r="G30" s="396">
        <v>553.04999999999995</v>
      </c>
      <c r="H30" s="305">
        <v>529.04999999999995</v>
      </c>
      <c r="I30" s="408"/>
      <c r="K30" s="304">
        <v>25</v>
      </c>
      <c r="L30" s="398">
        <v>4071</v>
      </c>
      <c r="M30" s="393" t="s">
        <v>207</v>
      </c>
      <c r="N30" s="394">
        <v>917.35</v>
      </c>
      <c r="O30" s="395">
        <v>654.9</v>
      </c>
      <c r="P30" s="396">
        <v>553.04999999999995</v>
      </c>
      <c r="Q30" s="305">
        <v>529.04999999999995</v>
      </c>
      <c r="R30" s="408"/>
      <c r="T30" s="304">
        <v>25</v>
      </c>
      <c r="U30" s="398">
        <v>4071</v>
      </c>
      <c r="V30" s="393" t="s">
        <v>207</v>
      </c>
      <c r="W30" s="394">
        <v>917.35</v>
      </c>
      <c r="X30" s="395">
        <v>654.9</v>
      </c>
      <c r="Y30" s="396">
        <v>553.04999999999995</v>
      </c>
      <c r="Z30" s="305">
        <v>529.04999999999995</v>
      </c>
      <c r="AA30" s="408"/>
      <c r="AC30" s="304">
        <v>25</v>
      </c>
      <c r="AD30" s="398">
        <v>4071</v>
      </c>
      <c r="AE30" s="393" t="s">
        <v>207</v>
      </c>
      <c r="AF30" s="394">
        <v>917.35</v>
      </c>
      <c r="AG30" s="395">
        <v>654.9</v>
      </c>
      <c r="AH30" s="396">
        <v>553.04999999999995</v>
      </c>
      <c r="AI30" s="305">
        <v>529.04999999999995</v>
      </c>
      <c r="AJ30" s="408"/>
      <c r="AL30" s="304">
        <v>25</v>
      </c>
      <c r="AM30" s="398">
        <v>4071</v>
      </c>
      <c r="AN30" s="393" t="s">
        <v>207</v>
      </c>
      <c r="AO30" s="394">
        <v>917.35</v>
      </c>
      <c r="AP30" s="395">
        <v>654.9</v>
      </c>
      <c r="AQ30" s="396">
        <v>553.04999999999995</v>
      </c>
      <c r="AR30" s="305">
        <v>529.04999999999995</v>
      </c>
      <c r="AS30" s="408"/>
      <c r="AU30" s="304">
        <v>25</v>
      </c>
      <c r="AV30" s="398">
        <v>4071</v>
      </c>
      <c r="AW30" s="393" t="s">
        <v>207</v>
      </c>
      <c r="AX30" s="394">
        <v>917.35</v>
      </c>
      <c r="AY30" s="395">
        <v>654.9</v>
      </c>
      <c r="AZ30" s="396">
        <v>553.04999999999995</v>
      </c>
      <c r="BA30" s="305">
        <v>529.04999999999995</v>
      </c>
      <c r="BB30" s="408"/>
    </row>
    <row r="31" spans="2:54" x14ac:dyDescent="0.2">
      <c r="B31" s="391">
        <v>26</v>
      </c>
      <c r="C31" s="398">
        <v>6766</v>
      </c>
      <c r="D31" s="393" t="s">
        <v>28</v>
      </c>
      <c r="E31" s="394">
        <v>867.15</v>
      </c>
      <c r="F31" s="395">
        <v>635.35</v>
      </c>
      <c r="G31" s="396">
        <v>553.70000000000005</v>
      </c>
      <c r="H31" s="305">
        <v>528.6</v>
      </c>
      <c r="I31" s="408"/>
      <c r="K31" s="391">
        <v>26</v>
      </c>
      <c r="L31" s="398">
        <v>6766</v>
      </c>
      <c r="M31" s="393" t="s">
        <v>28</v>
      </c>
      <c r="N31" s="394">
        <v>867.15</v>
      </c>
      <c r="O31" s="395">
        <v>635.35</v>
      </c>
      <c r="P31" s="396">
        <v>553.70000000000005</v>
      </c>
      <c r="Q31" s="305">
        <v>528.6</v>
      </c>
      <c r="R31" s="408"/>
      <c r="T31" s="391">
        <v>26</v>
      </c>
      <c r="U31" s="398">
        <v>6766</v>
      </c>
      <c r="V31" s="393" t="s">
        <v>28</v>
      </c>
      <c r="W31" s="394">
        <v>867.15</v>
      </c>
      <c r="X31" s="395">
        <v>635.35</v>
      </c>
      <c r="Y31" s="396">
        <v>553.70000000000005</v>
      </c>
      <c r="Z31" s="305">
        <v>528.6</v>
      </c>
      <c r="AA31" s="408"/>
      <c r="AC31" s="391">
        <v>26</v>
      </c>
      <c r="AD31" s="398">
        <v>6766</v>
      </c>
      <c r="AE31" s="393" t="s">
        <v>28</v>
      </c>
      <c r="AF31" s="394">
        <v>867.15</v>
      </c>
      <c r="AG31" s="395">
        <v>635.35</v>
      </c>
      <c r="AH31" s="396">
        <v>553.70000000000005</v>
      </c>
      <c r="AI31" s="305">
        <v>528.6</v>
      </c>
      <c r="AJ31" s="408"/>
      <c r="AL31" s="391">
        <v>26</v>
      </c>
      <c r="AM31" s="398">
        <v>6766</v>
      </c>
      <c r="AN31" s="393" t="s">
        <v>28</v>
      </c>
      <c r="AO31" s="394">
        <v>867.15</v>
      </c>
      <c r="AP31" s="395">
        <v>635.35</v>
      </c>
      <c r="AQ31" s="396">
        <v>553.70000000000005</v>
      </c>
      <c r="AR31" s="305">
        <v>528.6</v>
      </c>
      <c r="AS31" s="408"/>
      <c r="AU31" s="391">
        <v>26</v>
      </c>
      <c r="AV31" s="398">
        <v>6766</v>
      </c>
      <c r="AW31" s="393" t="s">
        <v>28</v>
      </c>
      <c r="AX31" s="394">
        <v>867.15</v>
      </c>
      <c r="AY31" s="395">
        <v>635.35</v>
      </c>
      <c r="AZ31" s="396">
        <v>553.70000000000005</v>
      </c>
      <c r="BA31" s="305">
        <v>528.6</v>
      </c>
      <c r="BB31" s="408"/>
    </row>
    <row r="32" spans="2:54" x14ac:dyDescent="0.2">
      <c r="B32" s="304">
        <v>27</v>
      </c>
      <c r="C32" s="398">
        <v>5275</v>
      </c>
      <c r="D32" s="393" t="s">
        <v>199</v>
      </c>
      <c r="E32" s="394">
        <v>913.3</v>
      </c>
      <c r="F32" s="395">
        <v>651</v>
      </c>
      <c r="G32" s="396">
        <v>557.35</v>
      </c>
      <c r="H32" s="305">
        <v>532.15</v>
      </c>
      <c r="I32" s="408"/>
      <c r="K32" s="304">
        <v>27</v>
      </c>
      <c r="L32" s="398">
        <v>5275</v>
      </c>
      <c r="M32" s="393" t="s">
        <v>199</v>
      </c>
      <c r="N32" s="394">
        <v>913.3</v>
      </c>
      <c r="O32" s="395">
        <v>651</v>
      </c>
      <c r="P32" s="396">
        <v>557.35</v>
      </c>
      <c r="Q32" s="305">
        <v>532.15</v>
      </c>
      <c r="R32" s="408"/>
      <c r="T32" s="304">
        <v>27</v>
      </c>
      <c r="U32" s="398">
        <v>5275</v>
      </c>
      <c r="V32" s="393" t="s">
        <v>199</v>
      </c>
      <c r="W32" s="394">
        <v>913.3</v>
      </c>
      <c r="X32" s="395">
        <v>651</v>
      </c>
      <c r="Y32" s="396">
        <v>557.35</v>
      </c>
      <c r="Z32" s="305">
        <v>532.15</v>
      </c>
      <c r="AA32" s="408"/>
      <c r="AC32" s="304">
        <v>27</v>
      </c>
      <c r="AD32" s="398">
        <v>5275</v>
      </c>
      <c r="AE32" s="393" t="s">
        <v>199</v>
      </c>
      <c r="AF32" s="394">
        <v>913.3</v>
      </c>
      <c r="AG32" s="395">
        <v>651</v>
      </c>
      <c r="AH32" s="396">
        <v>557.35</v>
      </c>
      <c r="AI32" s="305">
        <v>532.15</v>
      </c>
      <c r="AJ32" s="408"/>
      <c r="AL32" s="304">
        <v>27</v>
      </c>
      <c r="AM32" s="398">
        <v>5275</v>
      </c>
      <c r="AN32" s="393" t="s">
        <v>199</v>
      </c>
      <c r="AO32" s="394">
        <v>913.3</v>
      </c>
      <c r="AP32" s="395">
        <v>651</v>
      </c>
      <c r="AQ32" s="396">
        <v>557.35</v>
      </c>
      <c r="AR32" s="305">
        <v>532.15</v>
      </c>
      <c r="AS32" s="408"/>
      <c r="AU32" s="304">
        <v>27</v>
      </c>
      <c r="AV32" s="398">
        <v>5275</v>
      </c>
      <c r="AW32" s="393" t="s">
        <v>199</v>
      </c>
      <c r="AX32" s="394">
        <v>913.3</v>
      </c>
      <c r="AY32" s="395">
        <v>651</v>
      </c>
      <c r="AZ32" s="396">
        <v>557.35</v>
      </c>
      <c r="BA32" s="305">
        <v>532.15</v>
      </c>
      <c r="BB32" s="408"/>
    </row>
    <row r="33" spans="2:54" x14ac:dyDescent="0.2">
      <c r="B33" s="391">
        <v>28</v>
      </c>
      <c r="C33" s="398">
        <v>131</v>
      </c>
      <c r="D33" s="393" t="s">
        <v>23</v>
      </c>
      <c r="E33" s="394">
        <v>884</v>
      </c>
      <c r="F33" s="395">
        <v>643.75</v>
      </c>
      <c r="G33" s="396">
        <v>561.54999999999995</v>
      </c>
      <c r="H33" s="305">
        <v>542.35</v>
      </c>
      <c r="I33" s="408"/>
      <c r="K33" s="391">
        <v>28</v>
      </c>
      <c r="L33" s="398">
        <v>131</v>
      </c>
      <c r="M33" s="393" t="s">
        <v>23</v>
      </c>
      <c r="N33" s="394">
        <v>884</v>
      </c>
      <c r="O33" s="395">
        <v>643.75</v>
      </c>
      <c r="P33" s="396">
        <v>561.54999999999995</v>
      </c>
      <c r="Q33" s="305">
        <v>542.35</v>
      </c>
      <c r="R33" s="408"/>
      <c r="T33" s="391">
        <v>28</v>
      </c>
      <c r="U33" s="398">
        <v>131</v>
      </c>
      <c r="V33" s="393" t="s">
        <v>23</v>
      </c>
      <c r="W33" s="394">
        <v>884</v>
      </c>
      <c r="X33" s="395">
        <v>643.75</v>
      </c>
      <c r="Y33" s="396">
        <v>561.54999999999995</v>
      </c>
      <c r="Z33" s="305">
        <v>542.35</v>
      </c>
      <c r="AA33" s="408"/>
      <c r="AC33" s="391">
        <v>28</v>
      </c>
      <c r="AD33" s="398">
        <v>131</v>
      </c>
      <c r="AE33" s="393" t="s">
        <v>23</v>
      </c>
      <c r="AF33" s="394">
        <v>884</v>
      </c>
      <c r="AG33" s="395">
        <v>643.75</v>
      </c>
      <c r="AH33" s="396">
        <v>561.54999999999995</v>
      </c>
      <c r="AI33" s="305">
        <v>542.35</v>
      </c>
      <c r="AJ33" s="408"/>
      <c r="AL33" s="391">
        <v>28</v>
      </c>
      <c r="AM33" s="398">
        <v>131</v>
      </c>
      <c r="AN33" s="393" t="s">
        <v>23</v>
      </c>
      <c r="AO33" s="394">
        <v>884</v>
      </c>
      <c r="AP33" s="395">
        <v>643.75</v>
      </c>
      <c r="AQ33" s="396">
        <v>561.54999999999995</v>
      </c>
      <c r="AR33" s="305">
        <v>542.35</v>
      </c>
      <c r="AS33" s="408"/>
      <c r="AU33" s="391">
        <v>28</v>
      </c>
      <c r="AV33" s="398">
        <v>131</v>
      </c>
      <c r="AW33" s="393" t="s">
        <v>23</v>
      </c>
      <c r="AX33" s="394">
        <v>884</v>
      </c>
      <c r="AY33" s="395">
        <v>643.75</v>
      </c>
      <c r="AZ33" s="396">
        <v>561.54999999999995</v>
      </c>
      <c r="BA33" s="305">
        <v>542.35</v>
      </c>
      <c r="BB33" s="408"/>
    </row>
    <row r="34" spans="2:54" x14ac:dyDescent="0.2">
      <c r="B34" s="304">
        <v>29</v>
      </c>
      <c r="C34" s="398">
        <v>1611</v>
      </c>
      <c r="D34" s="393" t="s">
        <v>197</v>
      </c>
      <c r="E34" s="394">
        <v>921.65</v>
      </c>
      <c r="F34" s="395">
        <v>657.9</v>
      </c>
      <c r="G34" s="396">
        <v>561.54999999999995</v>
      </c>
      <c r="H34" s="305">
        <v>540.29999999999995</v>
      </c>
      <c r="I34" s="408"/>
      <c r="K34" s="304">
        <v>29</v>
      </c>
      <c r="L34" s="398">
        <v>1611</v>
      </c>
      <c r="M34" s="393" t="s">
        <v>197</v>
      </c>
      <c r="N34" s="394">
        <v>921.65</v>
      </c>
      <c r="O34" s="395">
        <v>657.9</v>
      </c>
      <c r="P34" s="396">
        <v>561.54999999999995</v>
      </c>
      <c r="Q34" s="305">
        <v>540.29999999999995</v>
      </c>
      <c r="R34" s="408"/>
      <c r="T34" s="304">
        <v>29</v>
      </c>
      <c r="U34" s="398">
        <v>1611</v>
      </c>
      <c r="V34" s="393" t="s">
        <v>197</v>
      </c>
      <c r="W34" s="394">
        <v>921.65</v>
      </c>
      <c r="X34" s="395">
        <v>657.9</v>
      </c>
      <c r="Y34" s="396">
        <v>561.54999999999995</v>
      </c>
      <c r="Z34" s="305">
        <v>540.29999999999995</v>
      </c>
      <c r="AA34" s="408"/>
      <c r="AC34" s="304">
        <v>29</v>
      </c>
      <c r="AD34" s="398">
        <v>1611</v>
      </c>
      <c r="AE34" s="393" t="s">
        <v>197</v>
      </c>
      <c r="AF34" s="394">
        <v>921.65</v>
      </c>
      <c r="AG34" s="395">
        <v>657.9</v>
      </c>
      <c r="AH34" s="396">
        <v>561.54999999999995</v>
      </c>
      <c r="AI34" s="305">
        <v>540.29999999999995</v>
      </c>
      <c r="AJ34" s="408"/>
      <c r="AL34" s="304">
        <v>29</v>
      </c>
      <c r="AM34" s="398">
        <v>1611</v>
      </c>
      <c r="AN34" s="393" t="s">
        <v>197</v>
      </c>
      <c r="AO34" s="394">
        <v>921.65</v>
      </c>
      <c r="AP34" s="395">
        <v>657.9</v>
      </c>
      <c r="AQ34" s="396">
        <v>561.54999999999995</v>
      </c>
      <c r="AR34" s="305">
        <v>540.29999999999995</v>
      </c>
      <c r="AS34" s="408"/>
      <c r="AU34" s="304">
        <v>29</v>
      </c>
      <c r="AV34" s="398">
        <v>1611</v>
      </c>
      <c r="AW34" s="393" t="s">
        <v>197</v>
      </c>
      <c r="AX34" s="394">
        <v>921.65</v>
      </c>
      <c r="AY34" s="395">
        <v>657.9</v>
      </c>
      <c r="AZ34" s="396">
        <v>561.54999999999995</v>
      </c>
      <c r="BA34" s="305">
        <v>540.29999999999995</v>
      </c>
      <c r="BB34" s="408"/>
    </row>
    <row r="35" spans="2:54" x14ac:dyDescent="0.2">
      <c r="B35" s="391">
        <v>30</v>
      </c>
      <c r="C35" s="398">
        <v>312</v>
      </c>
      <c r="D35" s="393" t="s">
        <v>25</v>
      </c>
      <c r="E35" s="394">
        <v>896.25</v>
      </c>
      <c r="F35" s="395">
        <v>650.25</v>
      </c>
      <c r="G35" s="396">
        <v>563.54999999999995</v>
      </c>
      <c r="H35" s="305">
        <v>541</v>
      </c>
      <c r="I35" s="408"/>
      <c r="K35" s="391">
        <v>30</v>
      </c>
      <c r="L35" s="398">
        <v>312</v>
      </c>
      <c r="M35" s="393" t="s">
        <v>25</v>
      </c>
      <c r="N35" s="394">
        <v>896.25</v>
      </c>
      <c r="O35" s="395">
        <v>650.25</v>
      </c>
      <c r="P35" s="396">
        <v>563.54999999999995</v>
      </c>
      <c r="Q35" s="305">
        <v>541</v>
      </c>
      <c r="R35" s="408"/>
      <c r="T35" s="391">
        <v>30</v>
      </c>
      <c r="U35" s="398">
        <v>312</v>
      </c>
      <c r="V35" s="393" t="s">
        <v>25</v>
      </c>
      <c r="W35" s="394">
        <v>896.25</v>
      </c>
      <c r="X35" s="395">
        <v>650.25</v>
      </c>
      <c r="Y35" s="396">
        <v>563.54999999999995</v>
      </c>
      <c r="Z35" s="305">
        <v>541</v>
      </c>
      <c r="AA35" s="408"/>
      <c r="AC35" s="391">
        <v>30</v>
      </c>
      <c r="AD35" s="398">
        <v>312</v>
      </c>
      <c r="AE35" s="393" t="s">
        <v>25</v>
      </c>
      <c r="AF35" s="394">
        <v>896.25</v>
      </c>
      <c r="AG35" s="395">
        <v>650.25</v>
      </c>
      <c r="AH35" s="396">
        <v>563.54999999999995</v>
      </c>
      <c r="AI35" s="305">
        <v>541</v>
      </c>
      <c r="AJ35" s="408"/>
      <c r="AL35" s="391">
        <v>30</v>
      </c>
      <c r="AM35" s="398">
        <v>312</v>
      </c>
      <c r="AN35" s="393" t="s">
        <v>25</v>
      </c>
      <c r="AO35" s="394">
        <v>896.25</v>
      </c>
      <c r="AP35" s="395">
        <v>650.25</v>
      </c>
      <c r="AQ35" s="396">
        <v>563.54999999999995</v>
      </c>
      <c r="AR35" s="305">
        <v>541</v>
      </c>
      <c r="AS35" s="408"/>
      <c r="AU35" s="391">
        <v>30</v>
      </c>
      <c r="AV35" s="398">
        <v>312</v>
      </c>
      <c r="AW35" s="393" t="s">
        <v>25</v>
      </c>
      <c r="AX35" s="394">
        <v>896.25</v>
      </c>
      <c r="AY35" s="395">
        <v>650.25</v>
      </c>
      <c r="AZ35" s="396">
        <v>563.54999999999995</v>
      </c>
      <c r="BA35" s="305">
        <v>541</v>
      </c>
      <c r="BB35" s="408"/>
    </row>
    <row r="36" spans="2:54" x14ac:dyDescent="0.2">
      <c r="B36" s="304">
        <v>31</v>
      </c>
      <c r="C36" s="398">
        <v>5537</v>
      </c>
      <c r="D36" s="393" t="s">
        <v>215</v>
      </c>
      <c r="E36" s="394">
        <v>896.05</v>
      </c>
      <c r="F36" s="395">
        <v>653</v>
      </c>
      <c r="G36" s="396">
        <v>564.20000000000005</v>
      </c>
      <c r="H36" s="305">
        <v>538.6</v>
      </c>
      <c r="I36" s="408"/>
      <c r="K36" s="304">
        <v>31</v>
      </c>
      <c r="L36" s="398">
        <v>5537</v>
      </c>
      <c r="M36" s="393" t="s">
        <v>215</v>
      </c>
      <c r="N36" s="394">
        <v>896.05</v>
      </c>
      <c r="O36" s="395">
        <v>653</v>
      </c>
      <c r="P36" s="396">
        <v>564.20000000000005</v>
      </c>
      <c r="Q36" s="305">
        <v>538.6</v>
      </c>
      <c r="R36" s="408"/>
      <c r="T36" s="304">
        <v>31</v>
      </c>
      <c r="U36" s="398">
        <v>5537</v>
      </c>
      <c r="V36" s="393" t="s">
        <v>215</v>
      </c>
      <c r="W36" s="394">
        <v>896.05</v>
      </c>
      <c r="X36" s="395">
        <v>653</v>
      </c>
      <c r="Y36" s="396">
        <v>564.20000000000005</v>
      </c>
      <c r="Z36" s="305">
        <v>538.6</v>
      </c>
      <c r="AA36" s="408"/>
      <c r="AC36" s="304">
        <v>31</v>
      </c>
      <c r="AD36" s="398">
        <v>5537</v>
      </c>
      <c r="AE36" s="393" t="s">
        <v>215</v>
      </c>
      <c r="AF36" s="394">
        <v>896.05</v>
      </c>
      <c r="AG36" s="395">
        <v>653</v>
      </c>
      <c r="AH36" s="396">
        <v>564.20000000000005</v>
      </c>
      <c r="AI36" s="305">
        <v>538.6</v>
      </c>
      <c r="AJ36" s="408"/>
      <c r="AL36" s="304">
        <v>31</v>
      </c>
      <c r="AM36" s="398">
        <v>5537</v>
      </c>
      <c r="AN36" s="393" t="s">
        <v>215</v>
      </c>
      <c r="AO36" s="394">
        <v>896.05</v>
      </c>
      <c r="AP36" s="395">
        <v>653</v>
      </c>
      <c r="AQ36" s="396">
        <v>564.20000000000005</v>
      </c>
      <c r="AR36" s="305">
        <v>538.6</v>
      </c>
      <c r="AS36" s="408"/>
      <c r="AU36" s="304">
        <v>31</v>
      </c>
      <c r="AV36" s="398">
        <v>5537</v>
      </c>
      <c r="AW36" s="393" t="s">
        <v>215</v>
      </c>
      <c r="AX36" s="394">
        <v>896.05</v>
      </c>
      <c r="AY36" s="395">
        <v>653</v>
      </c>
      <c r="AZ36" s="396">
        <v>564.20000000000005</v>
      </c>
      <c r="BA36" s="305">
        <v>538.6</v>
      </c>
      <c r="BB36" s="408"/>
    </row>
    <row r="37" spans="2:54" x14ac:dyDescent="0.2">
      <c r="B37" s="391">
        <v>32</v>
      </c>
      <c r="C37" s="398">
        <v>7177</v>
      </c>
      <c r="D37" s="393" t="s">
        <v>216</v>
      </c>
      <c r="E37" s="394">
        <v>920.75</v>
      </c>
      <c r="F37" s="395">
        <v>661.75</v>
      </c>
      <c r="G37" s="396">
        <v>570.9</v>
      </c>
      <c r="H37" s="305">
        <v>547.9</v>
      </c>
      <c r="I37" s="408"/>
      <c r="K37" s="391">
        <v>32</v>
      </c>
      <c r="L37" s="398">
        <v>7177</v>
      </c>
      <c r="M37" s="393" t="s">
        <v>216</v>
      </c>
      <c r="N37" s="394">
        <v>920.75</v>
      </c>
      <c r="O37" s="395">
        <v>661.75</v>
      </c>
      <c r="P37" s="396">
        <v>570.9</v>
      </c>
      <c r="Q37" s="305">
        <v>547.9</v>
      </c>
      <c r="R37" s="408"/>
      <c r="T37" s="391">
        <v>32</v>
      </c>
      <c r="U37" s="398">
        <v>7177</v>
      </c>
      <c r="V37" s="393" t="s">
        <v>216</v>
      </c>
      <c r="W37" s="394">
        <v>920.75</v>
      </c>
      <c r="X37" s="395">
        <v>661.75</v>
      </c>
      <c r="Y37" s="396">
        <v>570.9</v>
      </c>
      <c r="Z37" s="305">
        <v>547.9</v>
      </c>
      <c r="AA37" s="408"/>
      <c r="AC37" s="391">
        <v>32</v>
      </c>
      <c r="AD37" s="398">
        <v>7177</v>
      </c>
      <c r="AE37" s="393" t="s">
        <v>216</v>
      </c>
      <c r="AF37" s="394">
        <v>920.75</v>
      </c>
      <c r="AG37" s="395">
        <v>661.75</v>
      </c>
      <c r="AH37" s="396">
        <v>570.9</v>
      </c>
      <c r="AI37" s="305">
        <v>547.9</v>
      </c>
      <c r="AJ37" s="408"/>
      <c r="AL37" s="391">
        <v>32</v>
      </c>
      <c r="AM37" s="398">
        <v>7177</v>
      </c>
      <c r="AN37" s="393" t="s">
        <v>216</v>
      </c>
      <c r="AO37" s="394">
        <v>920.75</v>
      </c>
      <c r="AP37" s="395">
        <v>661.75</v>
      </c>
      <c r="AQ37" s="396">
        <v>570.9</v>
      </c>
      <c r="AR37" s="305">
        <v>547.9</v>
      </c>
      <c r="AS37" s="408"/>
      <c r="AU37" s="391">
        <v>32</v>
      </c>
      <c r="AV37" s="398">
        <v>7177</v>
      </c>
      <c r="AW37" s="393" t="s">
        <v>216</v>
      </c>
      <c r="AX37" s="394">
        <v>920.75</v>
      </c>
      <c r="AY37" s="395">
        <v>661.75</v>
      </c>
      <c r="AZ37" s="396">
        <v>570.9</v>
      </c>
      <c r="BA37" s="305">
        <v>547.9</v>
      </c>
      <c r="BB37" s="408"/>
    </row>
    <row r="38" spans="2:54" x14ac:dyDescent="0.2">
      <c r="B38" s="304">
        <v>33</v>
      </c>
      <c r="C38" s="398">
        <v>4832</v>
      </c>
      <c r="D38" s="393" t="s">
        <v>119</v>
      </c>
      <c r="E38" s="394">
        <v>881.9</v>
      </c>
      <c r="F38" s="395">
        <v>653.65</v>
      </c>
      <c r="G38" s="396">
        <v>571.29999999999995</v>
      </c>
      <c r="H38" s="305">
        <v>546.45000000000005</v>
      </c>
      <c r="I38" s="408"/>
      <c r="K38" s="304">
        <v>33</v>
      </c>
      <c r="L38" s="398">
        <v>4832</v>
      </c>
      <c r="M38" s="393" t="s">
        <v>119</v>
      </c>
      <c r="N38" s="394">
        <v>881.9</v>
      </c>
      <c r="O38" s="395">
        <v>653.65</v>
      </c>
      <c r="P38" s="396">
        <v>571.29999999999995</v>
      </c>
      <c r="Q38" s="305">
        <v>546.45000000000005</v>
      </c>
      <c r="R38" s="408"/>
      <c r="T38" s="304">
        <v>33</v>
      </c>
      <c r="U38" s="398">
        <v>4832</v>
      </c>
      <c r="V38" s="393" t="s">
        <v>119</v>
      </c>
      <c r="W38" s="394">
        <v>881.9</v>
      </c>
      <c r="X38" s="395">
        <v>653.65</v>
      </c>
      <c r="Y38" s="396">
        <v>571.29999999999995</v>
      </c>
      <c r="Z38" s="305">
        <v>546.45000000000005</v>
      </c>
      <c r="AA38" s="408"/>
      <c r="AC38" s="304">
        <v>33</v>
      </c>
      <c r="AD38" s="398">
        <v>4832</v>
      </c>
      <c r="AE38" s="393" t="s">
        <v>119</v>
      </c>
      <c r="AF38" s="394">
        <v>881.9</v>
      </c>
      <c r="AG38" s="395">
        <v>653.65</v>
      </c>
      <c r="AH38" s="396">
        <v>571.29999999999995</v>
      </c>
      <c r="AI38" s="305">
        <v>546.45000000000005</v>
      </c>
      <c r="AJ38" s="408"/>
      <c r="AL38" s="304">
        <v>33</v>
      </c>
      <c r="AM38" s="398">
        <v>4832</v>
      </c>
      <c r="AN38" s="393" t="s">
        <v>119</v>
      </c>
      <c r="AO38" s="394">
        <v>881.9</v>
      </c>
      <c r="AP38" s="395">
        <v>653.65</v>
      </c>
      <c r="AQ38" s="396">
        <v>571.29999999999995</v>
      </c>
      <c r="AR38" s="305">
        <v>546.45000000000005</v>
      </c>
      <c r="AS38" s="408"/>
      <c r="AU38" s="304">
        <v>33</v>
      </c>
      <c r="AV38" s="398">
        <v>4832</v>
      </c>
      <c r="AW38" s="393" t="s">
        <v>119</v>
      </c>
      <c r="AX38" s="394">
        <v>881.9</v>
      </c>
      <c r="AY38" s="395">
        <v>653.65</v>
      </c>
      <c r="AZ38" s="396">
        <v>571.29999999999995</v>
      </c>
      <c r="BA38" s="305">
        <v>546.45000000000005</v>
      </c>
      <c r="BB38" s="408"/>
    </row>
    <row r="39" spans="2:54" x14ac:dyDescent="0.2">
      <c r="B39" s="391">
        <v>34</v>
      </c>
      <c r="C39" s="398">
        <v>4020</v>
      </c>
      <c r="D39" s="393" t="s">
        <v>208</v>
      </c>
      <c r="E39" s="394">
        <v>886.2</v>
      </c>
      <c r="F39" s="395">
        <v>661.15</v>
      </c>
      <c r="G39" s="396">
        <v>578.5</v>
      </c>
      <c r="H39" s="305">
        <v>555.15</v>
      </c>
      <c r="I39" s="408"/>
      <c r="K39" s="391">
        <v>34</v>
      </c>
      <c r="L39" s="398">
        <v>4020</v>
      </c>
      <c r="M39" s="393" t="s">
        <v>208</v>
      </c>
      <c r="N39" s="394">
        <v>886.2</v>
      </c>
      <c r="O39" s="395">
        <v>661.15</v>
      </c>
      <c r="P39" s="396">
        <v>578.5</v>
      </c>
      <c r="Q39" s="305">
        <v>555.15</v>
      </c>
      <c r="R39" s="408"/>
      <c r="T39" s="391">
        <v>34</v>
      </c>
      <c r="U39" s="398">
        <v>4020</v>
      </c>
      <c r="V39" s="393" t="s">
        <v>208</v>
      </c>
      <c r="W39" s="394">
        <v>886.2</v>
      </c>
      <c r="X39" s="395">
        <v>661.15</v>
      </c>
      <c r="Y39" s="396">
        <v>578.5</v>
      </c>
      <c r="Z39" s="305">
        <v>555.15</v>
      </c>
      <c r="AA39" s="408"/>
      <c r="AC39" s="391">
        <v>34</v>
      </c>
      <c r="AD39" s="398">
        <v>4020</v>
      </c>
      <c r="AE39" s="393" t="s">
        <v>208</v>
      </c>
      <c r="AF39" s="394">
        <v>886.2</v>
      </c>
      <c r="AG39" s="395">
        <v>661.15</v>
      </c>
      <c r="AH39" s="396">
        <v>578.5</v>
      </c>
      <c r="AI39" s="305">
        <v>555.15</v>
      </c>
      <c r="AJ39" s="408"/>
      <c r="AL39" s="391">
        <v>34</v>
      </c>
      <c r="AM39" s="398">
        <v>4020</v>
      </c>
      <c r="AN39" s="393" t="s">
        <v>208</v>
      </c>
      <c r="AO39" s="394">
        <v>886.2</v>
      </c>
      <c r="AP39" s="395">
        <v>661.15</v>
      </c>
      <c r="AQ39" s="396">
        <v>578.5</v>
      </c>
      <c r="AR39" s="305">
        <v>555.15</v>
      </c>
      <c r="AS39" s="408"/>
      <c r="AU39" s="391">
        <v>34</v>
      </c>
      <c r="AV39" s="398">
        <v>4020</v>
      </c>
      <c r="AW39" s="393" t="s">
        <v>208</v>
      </c>
      <c r="AX39" s="394">
        <v>886.2</v>
      </c>
      <c r="AY39" s="395">
        <v>661.15</v>
      </c>
      <c r="AZ39" s="396">
        <v>578.5</v>
      </c>
      <c r="BA39" s="305">
        <v>555.15</v>
      </c>
      <c r="BB39" s="408"/>
    </row>
    <row r="40" spans="2:54" x14ac:dyDescent="0.2">
      <c r="B40" s="304">
        <v>35</v>
      </c>
      <c r="C40" s="398">
        <v>7014</v>
      </c>
      <c r="D40" s="393" t="s">
        <v>209</v>
      </c>
      <c r="E40" s="394">
        <v>993.75</v>
      </c>
      <c r="F40" s="395">
        <v>701.2</v>
      </c>
      <c r="G40" s="396">
        <v>581.85</v>
      </c>
      <c r="H40" s="305">
        <v>555.95000000000005</v>
      </c>
      <c r="I40" s="408"/>
      <c r="K40" s="304">
        <v>35</v>
      </c>
      <c r="L40" s="398">
        <v>7014</v>
      </c>
      <c r="M40" s="393" t="s">
        <v>209</v>
      </c>
      <c r="N40" s="394">
        <v>993.75</v>
      </c>
      <c r="O40" s="395">
        <v>701.2</v>
      </c>
      <c r="P40" s="396">
        <v>581.85</v>
      </c>
      <c r="Q40" s="305">
        <v>555.95000000000005</v>
      </c>
      <c r="R40" s="408"/>
      <c r="T40" s="304">
        <v>35</v>
      </c>
      <c r="U40" s="398">
        <v>7014</v>
      </c>
      <c r="V40" s="393" t="s">
        <v>209</v>
      </c>
      <c r="W40" s="394">
        <v>993.75</v>
      </c>
      <c r="X40" s="395">
        <v>701.2</v>
      </c>
      <c r="Y40" s="396">
        <v>581.85</v>
      </c>
      <c r="Z40" s="305">
        <v>555.95000000000005</v>
      </c>
      <c r="AA40" s="408"/>
      <c r="AC40" s="304">
        <v>35</v>
      </c>
      <c r="AD40" s="398">
        <v>7014</v>
      </c>
      <c r="AE40" s="393" t="s">
        <v>209</v>
      </c>
      <c r="AF40" s="394">
        <v>993.75</v>
      </c>
      <c r="AG40" s="395">
        <v>701.2</v>
      </c>
      <c r="AH40" s="396">
        <v>581.85</v>
      </c>
      <c r="AI40" s="305">
        <v>555.95000000000005</v>
      </c>
      <c r="AJ40" s="408"/>
      <c r="AL40" s="304">
        <v>35</v>
      </c>
      <c r="AM40" s="398">
        <v>7014</v>
      </c>
      <c r="AN40" s="393" t="s">
        <v>209</v>
      </c>
      <c r="AO40" s="394">
        <v>993.75</v>
      </c>
      <c r="AP40" s="395">
        <v>701.2</v>
      </c>
      <c r="AQ40" s="396">
        <v>581.85</v>
      </c>
      <c r="AR40" s="305">
        <v>555.95000000000005</v>
      </c>
      <c r="AS40" s="408"/>
      <c r="AU40" s="304">
        <v>35</v>
      </c>
      <c r="AV40" s="398">
        <v>7014</v>
      </c>
      <c r="AW40" s="393" t="s">
        <v>209</v>
      </c>
      <c r="AX40" s="394">
        <v>993.75</v>
      </c>
      <c r="AY40" s="395">
        <v>701.2</v>
      </c>
      <c r="AZ40" s="396">
        <v>581.85</v>
      </c>
      <c r="BA40" s="305">
        <v>555.95000000000005</v>
      </c>
      <c r="BB40" s="408"/>
    </row>
    <row r="41" spans="2:54" x14ac:dyDescent="0.2">
      <c r="B41" s="391">
        <v>36</v>
      </c>
      <c r="C41" s="398">
        <v>6934</v>
      </c>
      <c r="D41" s="393" t="s">
        <v>185</v>
      </c>
      <c r="E41" s="394">
        <v>975.93299999999999</v>
      </c>
      <c r="F41" s="395">
        <v>701.1</v>
      </c>
      <c r="G41" s="396">
        <v>597.87525000000005</v>
      </c>
      <c r="H41" s="305">
        <v>566.577</v>
      </c>
      <c r="I41" s="408" t="s">
        <v>239</v>
      </c>
      <c r="K41" s="391">
        <v>36</v>
      </c>
      <c r="L41" s="398">
        <v>6934</v>
      </c>
      <c r="M41" s="393" t="s">
        <v>185</v>
      </c>
      <c r="N41" s="394">
        <v>975.93299999999999</v>
      </c>
      <c r="O41" s="395">
        <v>701.1</v>
      </c>
      <c r="P41" s="396">
        <v>597.87525000000005</v>
      </c>
      <c r="Q41" s="305">
        <v>566.577</v>
      </c>
      <c r="R41" s="408" t="s">
        <v>239</v>
      </c>
      <c r="T41" s="391">
        <v>36</v>
      </c>
      <c r="U41" s="398">
        <v>6934</v>
      </c>
      <c r="V41" s="393" t="s">
        <v>185</v>
      </c>
      <c r="W41" s="394">
        <v>975.93299999999999</v>
      </c>
      <c r="X41" s="395">
        <v>701.1</v>
      </c>
      <c r="Y41" s="396">
        <v>597.87525000000005</v>
      </c>
      <c r="Z41" s="305">
        <v>566.577</v>
      </c>
      <c r="AA41" s="408" t="s">
        <v>239</v>
      </c>
      <c r="AC41" s="391">
        <v>36</v>
      </c>
      <c r="AD41" s="398">
        <v>6934</v>
      </c>
      <c r="AE41" s="393" t="s">
        <v>185</v>
      </c>
      <c r="AF41" s="394">
        <v>975.93299999999999</v>
      </c>
      <c r="AG41" s="395">
        <v>701.1</v>
      </c>
      <c r="AH41" s="396">
        <v>597.87525000000005</v>
      </c>
      <c r="AI41" s="305">
        <v>566.577</v>
      </c>
      <c r="AJ41" s="408" t="s">
        <v>239</v>
      </c>
      <c r="AL41" s="391">
        <v>36</v>
      </c>
      <c r="AM41" s="398">
        <v>6934</v>
      </c>
      <c r="AN41" s="393" t="s">
        <v>185</v>
      </c>
      <c r="AO41" s="394">
        <v>975.93299999999999</v>
      </c>
      <c r="AP41" s="395">
        <v>701.1</v>
      </c>
      <c r="AQ41" s="396">
        <v>597.87525000000005</v>
      </c>
      <c r="AR41" s="305">
        <v>566.577</v>
      </c>
      <c r="AS41" s="408" t="s">
        <v>239</v>
      </c>
      <c r="AU41" s="391">
        <v>36</v>
      </c>
      <c r="AV41" s="398">
        <v>6934</v>
      </c>
      <c r="AW41" s="393" t="s">
        <v>185</v>
      </c>
      <c r="AX41" s="394">
        <v>975.93299999999999</v>
      </c>
      <c r="AY41" s="395">
        <v>701.1</v>
      </c>
      <c r="AZ41" s="396">
        <v>597.87525000000005</v>
      </c>
      <c r="BA41" s="305">
        <v>566.577</v>
      </c>
      <c r="BB41" s="408" t="s">
        <v>239</v>
      </c>
    </row>
    <row r="42" spans="2:54" x14ac:dyDescent="0.2">
      <c r="B42" s="304">
        <v>37</v>
      </c>
      <c r="C42" s="398">
        <v>4469</v>
      </c>
      <c r="D42" s="393" t="s">
        <v>30</v>
      </c>
      <c r="E42" s="394">
        <v>982.45</v>
      </c>
      <c r="F42" s="395">
        <v>710.85</v>
      </c>
      <c r="G42" s="396">
        <v>606.85</v>
      </c>
      <c r="H42" s="305">
        <v>583.5</v>
      </c>
      <c r="I42" s="408"/>
      <c r="K42" s="304">
        <v>37</v>
      </c>
      <c r="L42" s="398">
        <v>4469</v>
      </c>
      <c r="M42" s="393" t="s">
        <v>30</v>
      </c>
      <c r="N42" s="394">
        <v>982.45</v>
      </c>
      <c r="O42" s="395">
        <v>710.85</v>
      </c>
      <c r="P42" s="396">
        <v>606.85</v>
      </c>
      <c r="Q42" s="305">
        <v>583.5</v>
      </c>
      <c r="R42" s="408"/>
      <c r="T42" s="304">
        <v>37</v>
      </c>
      <c r="U42" s="398">
        <v>4469</v>
      </c>
      <c r="V42" s="393" t="s">
        <v>30</v>
      </c>
      <c r="W42" s="394">
        <v>982.45</v>
      </c>
      <c r="X42" s="395">
        <v>710.85</v>
      </c>
      <c r="Y42" s="396">
        <v>606.85</v>
      </c>
      <c r="Z42" s="305">
        <v>583.5</v>
      </c>
      <c r="AA42" s="408"/>
      <c r="AC42" s="304">
        <v>37</v>
      </c>
      <c r="AD42" s="398">
        <v>4469</v>
      </c>
      <c r="AE42" s="393" t="s">
        <v>30</v>
      </c>
      <c r="AF42" s="394">
        <v>982.45</v>
      </c>
      <c r="AG42" s="395">
        <v>710.85</v>
      </c>
      <c r="AH42" s="396">
        <v>606.85</v>
      </c>
      <c r="AI42" s="305">
        <v>583.5</v>
      </c>
      <c r="AJ42" s="408"/>
      <c r="AL42" s="304">
        <v>37</v>
      </c>
      <c r="AM42" s="398">
        <v>4469</v>
      </c>
      <c r="AN42" s="393" t="s">
        <v>30</v>
      </c>
      <c r="AO42" s="394">
        <v>982.45</v>
      </c>
      <c r="AP42" s="395">
        <v>710.85</v>
      </c>
      <c r="AQ42" s="396">
        <v>606.85</v>
      </c>
      <c r="AR42" s="305">
        <v>583.5</v>
      </c>
      <c r="AS42" s="408"/>
      <c r="AU42" s="304">
        <v>37</v>
      </c>
      <c r="AV42" s="398">
        <v>4469</v>
      </c>
      <c r="AW42" s="393" t="s">
        <v>30</v>
      </c>
      <c r="AX42" s="394">
        <v>982.45</v>
      </c>
      <c r="AY42" s="395">
        <v>710.85</v>
      </c>
      <c r="AZ42" s="396">
        <v>606.85</v>
      </c>
      <c r="BA42" s="305">
        <v>583.5</v>
      </c>
      <c r="BB42" s="408"/>
    </row>
    <row r="43" spans="2:54" x14ac:dyDescent="0.2">
      <c r="B43" s="391">
        <v>38</v>
      </c>
      <c r="C43" s="398">
        <v>5273</v>
      </c>
      <c r="D43" s="393" t="s">
        <v>184</v>
      </c>
      <c r="E43" s="394">
        <v>1035.6500000000001</v>
      </c>
      <c r="F43" s="395">
        <v>748.9</v>
      </c>
      <c r="G43" s="396">
        <v>642.45000000000005</v>
      </c>
      <c r="H43" s="305">
        <v>617.1</v>
      </c>
      <c r="I43" s="408"/>
      <c r="K43" s="391">
        <v>38</v>
      </c>
      <c r="L43" s="398">
        <v>5273</v>
      </c>
      <c r="M43" s="393" t="s">
        <v>184</v>
      </c>
      <c r="N43" s="394">
        <v>1035.6500000000001</v>
      </c>
      <c r="O43" s="395">
        <v>748.9</v>
      </c>
      <c r="P43" s="396">
        <v>642.45000000000005</v>
      </c>
      <c r="Q43" s="305">
        <v>617.1</v>
      </c>
      <c r="R43" s="408"/>
      <c r="T43" s="391">
        <v>38</v>
      </c>
      <c r="U43" s="398">
        <v>5273</v>
      </c>
      <c r="V43" s="393" t="s">
        <v>184</v>
      </c>
      <c r="W43" s="394">
        <v>1035.6500000000001</v>
      </c>
      <c r="X43" s="395">
        <v>748.9</v>
      </c>
      <c r="Y43" s="396">
        <v>642.45000000000005</v>
      </c>
      <c r="Z43" s="305">
        <v>617.1</v>
      </c>
      <c r="AA43" s="408"/>
      <c r="AC43" s="391">
        <v>38</v>
      </c>
      <c r="AD43" s="398">
        <v>5273</v>
      </c>
      <c r="AE43" s="393" t="s">
        <v>184</v>
      </c>
      <c r="AF43" s="394">
        <v>1035.6500000000001</v>
      </c>
      <c r="AG43" s="395">
        <v>748.9</v>
      </c>
      <c r="AH43" s="396">
        <v>642.45000000000005</v>
      </c>
      <c r="AI43" s="305">
        <v>617.1</v>
      </c>
      <c r="AJ43" s="408"/>
      <c r="AL43" s="391">
        <v>38</v>
      </c>
      <c r="AM43" s="398">
        <v>5273</v>
      </c>
      <c r="AN43" s="393" t="s">
        <v>184</v>
      </c>
      <c r="AO43" s="394">
        <v>1035.6500000000001</v>
      </c>
      <c r="AP43" s="395">
        <v>748.9</v>
      </c>
      <c r="AQ43" s="396">
        <v>642.45000000000005</v>
      </c>
      <c r="AR43" s="305">
        <v>617.1</v>
      </c>
      <c r="AS43" s="408"/>
      <c r="AU43" s="391">
        <v>38</v>
      </c>
      <c r="AV43" s="398">
        <v>5273</v>
      </c>
      <c r="AW43" s="393" t="s">
        <v>184</v>
      </c>
      <c r="AX43" s="394">
        <v>1035.6500000000001</v>
      </c>
      <c r="AY43" s="395">
        <v>748.9</v>
      </c>
      <c r="AZ43" s="396">
        <v>642.45000000000005</v>
      </c>
      <c r="BA43" s="305">
        <v>617.1</v>
      </c>
      <c r="BB43" s="408"/>
    </row>
    <row r="44" spans="2:54" x14ac:dyDescent="0.2">
      <c r="B44" s="304"/>
      <c r="C44" s="398"/>
      <c r="D44" s="393"/>
      <c r="E44" s="394"/>
      <c r="F44" s="395"/>
      <c r="G44" s="396"/>
      <c r="H44" s="305"/>
      <c r="I44" s="408"/>
      <c r="K44" s="304"/>
      <c r="L44" s="398"/>
      <c r="M44" s="393"/>
      <c r="N44" s="394"/>
      <c r="O44" s="395"/>
      <c r="P44" s="396"/>
      <c r="Q44" s="305"/>
      <c r="R44" s="408"/>
      <c r="T44" s="304"/>
      <c r="U44" s="398"/>
      <c r="V44" s="393"/>
      <c r="W44" s="394"/>
      <c r="X44" s="395"/>
      <c r="Y44" s="396"/>
      <c r="Z44" s="305"/>
      <c r="AA44" s="408"/>
      <c r="AC44" s="304"/>
      <c r="AD44" s="398"/>
      <c r="AE44" s="393"/>
      <c r="AF44" s="394"/>
      <c r="AG44" s="395"/>
      <c r="AH44" s="396"/>
      <c r="AI44" s="305"/>
      <c r="AJ44" s="408"/>
      <c r="AL44" s="304"/>
      <c r="AM44" s="398"/>
      <c r="AN44" s="393"/>
      <c r="AO44" s="394"/>
      <c r="AP44" s="395"/>
      <c r="AQ44" s="396"/>
      <c r="AR44" s="305"/>
      <c r="AS44" s="408"/>
      <c r="AU44" s="304"/>
      <c r="AV44" s="398"/>
      <c r="AW44" s="393"/>
      <c r="AX44" s="394"/>
      <c r="AY44" s="395"/>
      <c r="AZ44" s="396"/>
      <c r="BA44" s="305"/>
      <c r="BB44" s="408"/>
    </row>
    <row r="45" spans="2:54" x14ac:dyDescent="0.2">
      <c r="B45" s="391"/>
      <c r="C45" s="398"/>
      <c r="D45" s="296"/>
      <c r="E45" s="394"/>
      <c r="F45" s="395"/>
      <c r="G45" s="396"/>
      <c r="H45" s="305"/>
      <c r="I45" s="408"/>
      <c r="K45" s="391"/>
      <c r="L45" s="398"/>
      <c r="M45" s="296"/>
      <c r="N45" s="394"/>
      <c r="O45" s="395"/>
      <c r="P45" s="396"/>
      <c r="Q45" s="305"/>
      <c r="R45" s="408"/>
      <c r="T45" s="391"/>
      <c r="U45" s="398"/>
      <c r="V45" s="296"/>
      <c r="W45" s="394"/>
      <c r="X45" s="395"/>
      <c r="Y45" s="396"/>
      <c r="Z45" s="305"/>
      <c r="AA45" s="408"/>
      <c r="AC45" s="391"/>
      <c r="AD45" s="398"/>
      <c r="AE45" s="296"/>
      <c r="AF45" s="394"/>
      <c r="AG45" s="395"/>
      <c r="AH45" s="396"/>
      <c r="AI45" s="305"/>
      <c r="AJ45" s="408"/>
      <c r="AL45" s="391"/>
      <c r="AM45" s="398"/>
      <c r="AN45" s="296"/>
      <c r="AO45" s="394"/>
      <c r="AP45" s="395"/>
      <c r="AQ45" s="396"/>
      <c r="AR45" s="305"/>
      <c r="AS45" s="408"/>
      <c r="AU45" s="391"/>
      <c r="AV45" s="398"/>
      <c r="AW45" s="296"/>
      <c r="AX45" s="394"/>
      <c r="AY45" s="395"/>
      <c r="AZ45" s="396"/>
      <c r="BA45" s="305"/>
      <c r="BB45" s="408"/>
    </row>
    <row r="46" spans="2:54" x14ac:dyDescent="0.2">
      <c r="B46" s="304"/>
      <c r="C46" s="398"/>
      <c r="D46" s="393"/>
      <c r="E46" s="394"/>
      <c r="F46" s="395"/>
      <c r="G46" s="396"/>
      <c r="H46" s="305"/>
      <c r="I46" s="408"/>
      <c r="K46" s="304"/>
      <c r="L46" s="398"/>
      <c r="M46" s="393"/>
      <c r="N46" s="394"/>
      <c r="O46" s="395"/>
      <c r="P46" s="396"/>
      <c r="Q46" s="305"/>
      <c r="R46" s="408"/>
      <c r="T46" s="304"/>
      <c r="U46" s="398"/>
      <c r="V46" s="393"/>
      <c r="W46" s="394"/>
      <c r="X46" s="395"/>
      <c r="Y46" s="396"/>
      <c r="Z46" s="305"/>
      <c r="AA46" s="408"/>
      <c r="AC46" s="304"/>
      <c r="AD46" s="398"/>
      <c r="AE46" s="393"/>
      <c r="AF46" s="394"/>
      <c r="AG46" s="395"/>
      <c r="AH46" s="396"/>
      <c r="AI46" s="305"/>
      <c r="AJ46" s="408"/>
      <c r="AL46" s="304"/>
      <c r="AM46" s="398"/>
      <c r="AN46" s="393"/>
      <c r="AO46" s="394"/>
      <c r="AP46" s="395"/>
      <c r="AQ46" s="396"/>
      <c r="AR46" s="305"/>
      <c r="AS46" s="408"/>
      <c r="AU46" s="304"/>
      <c r="AV46" s="398"/>
      <c r="AW46" s="393"/>
      <c r="AX46" s="394"/>
      <c r="AY46" s="395"/>
      <c r="AZ46" s="396"/>
      <c r="BA46" s="305"/>
      <c r="BB46" s="408"/>
    </row>
    <row r="47" spans="2:54" x14ac:dyDescent="0.2">
      <c r="B47" s="391"/>
      <c r="C47" s="294"/>
      <c r="D47" s="295"/>
      <c r="E47" s="394"/>
      <c r="F47" s="395"/>
      <c r="G47" s="396"/>
      <c r="H47" s="305"/>
      <c r="I47" s="408"/>
      <c r="K47" s="391"/>
      <c r="L47" s="294"/>
      <c r="M47" s="295"/>
      <c r="N47" s="394"/>
      <c r="O47" s="395"/>
      <c r="P47" s="396"/>
      <c r="Q47" s="305"/>
      <c r="R47" s="408"/>
      <c r="T47" s="391"/>
      <c r="U47" s="294"/>
      <c r="V47" s="295"/>
      <c r="W47" s="394"/>
      <c r="X47" s="395"/>
      <c r="Y47" s="396"/>
      <c r="Z47" s="305"/>
      <c r="AA47" s="408"/>
      <c r="AC47" s="391"/>
      <c r="AD47" s="294"/>
      <c r="AE47" s="295"/>
      <c r="AF47" s="394"/>
      <c r="AG47" s="395"/>
      <c r="AH47" s="396"/>
      <c r="AI47" s="305"/>
      <c r="AJ47" s="408"/>
      <c r="AL47" s="391"/>
      <c r="AM47" s="294"/>
      <c r="AN47" s="295"/>
      <c r="AO47" s="394"/>
      <c r="AP47" s="395"/>
      <c r="AQ47" s="396"/>
      <c r="AR47" s="305"/>
      <c r="AS47" s="408"/>
      <c r="AU47" s="391"/>
      <c r="AV47" s="294"/>
      <c r="AW47" s="295"/>
      <c r="AX47" s="394"/>
      <c r="AY47" s="395"/>
      <c r="AZ47" s="396"/>
      <c r="BA47" s="305"/>
      <c r="BB47" s="408"/>
    </row>
    <row r="48" spans="2:54" x14ac:dyDescent="0.2">
      <c r="B48" s="304"/>
      <c r="C48" s="398"/>
      <c r="D48" s="295"/>
      <c r="E48" s="394"/>
      <c r="F48" s="395"/>
      <c r="G48" s="396"/>
      <c r="H48" s="305"/>
      <c r="I48" s="408"/>
      <c r="K48" s="304"/>
      <c r="L48" s="398"/>
      <c r="M48" s="295"/>
      <c r="N48" s="394"/>
      <c r="O48" s="395"/>
      <c r="P48" s="396"/>
      <c r="Q48" s="305"/>
      <c r="R48" s="408"/>
      <c r="T48" s="304"/>
      <c r="U48" s="398"/>
      <c r="V48" s="295"/>
      <c r="W48" s="394"/>
      <c r="X48" s="395"/>
      <c r="Y48" s="396"/>
      <c r="Z48" s="305"/>
      <c r="AA48" s="408"/>
      <c r="AC48" s="304"/>
      <c r="AD48" s="398"/>
      <c r="AE48" s="295"/>
      <c r="AF48" s="394"/>
      <c r="AG48" s="395"/>
      <c r="AH48" s="396"/>
      <c r="AI48" s="305"/>
      <c r="AJ48" s="408"/>
      <c r="AL48" s="304"/>
      <c r="AM48" s="398"/>
      <c r="AN48" s="295"/>
      <c r="AO48" s="394"/>
      <c r="AP48" s="395"/>
      <c r="AQ48" s="396"/>
      <c r="AR48" s="305"/>
      <c r="AS48" s="408"/>
      <c r="AU48" s="304"/>
      <c r="AV48" s="398"/>
      <c r="AW48" s="295"/>
      <c r="AX48" s="394"/>
      <c r="AY48" s="395"/>
      <c r="AZ48" s="396"/>
      <c r="BA48" s="305"/>
      <c r="BB48" s="408"/>
    </row>
    <row r="49" spans="2:54" x14ac:dyDescent="0.2">
      <c r="B49" s="391"/>
      <c r="C49" s="402"/>
      <c r="D49" s="296"/>
      <c r="E49" s="403"/>
      <c r="F49" s="404"/>
      <c r="G49" s="405"/>
      <c r="H49" s="305"/>
      <c r="I49" s="408"/>
      <c r="K49" s="391"/>
      <c r="L49" s="402"/>
      <c r="M49" s="296"/>
      <c r="N49" s="403"/>
      <c r="O49" s="404"/>
      <c r="P49" s="405"/>
      <c r="Q49" s="305"/>
      <c r="R49" s="408"/>
      <c r="T49" s="391"/>
      <c r="U49" s="402"/>
      <c r="V49" s="296"/>
      <c r="W49" s="403"/>
      <c r="X49" s="404"/>
      <c r="Y49" s="405"/>
      <c r="Z49" s="305"/>
      <c r="AA49" s="408"/>
      <c r="AC49" s="391"/>
      <c r="AD49" s="402"/>
      <c r="AE49" s="296"/>
      <c r="AF49" s="403"/>
      <c r="AG49" s="404"/>
      <c r="AH49" s="405"/>
      <c r="AI49" s="305"/>
      <c r="AJ49" s="408"/>
      <c r="AL49" s="391"/>
      <c r="AM49" s="402"/>
      <c r="AN49" s="296"/>
      <c r="AO49" s="403"/>
      <c r="AP49" s="404"/>
      <c r="AQ49" s="405"/>
      <c r="AR49" s="305"/>
      <c r="AS49" s="408"/>
      <c r="AU49" s="391"/>
      <c r="AV49" s="402"/>
      <c r="AW49" s="296"/>
      <c r="AX49" s="403"/>
      <c r="AY49" s="404"/>
      <c r="AZ49" s="405"/>
      <c r="BA49" s="305"/>
      <c r="BB49" s="408"/>
    </row>
    <row r="50" spans="2:54" ht="13.5" thickBot="1" x14ac:dyDescent="0.25">
      <c r="B50" s="299"/>
      <c r="C50" s="406"/>
      <c r="D50" s="406"/>
      <c r="E50" s="406"/>
      <c r="F50" s="406"/>
      <c r="G50" s="378"/>
      <c r="H50" s="378"/>
      <c r="I50" s="410"/>
      <c r="K50" s="299"/>
      <c r="L50" s="406"/>
      <c r="M50" s="406"/>
      <c r="N50" s="406"/>
      <c r="O50" s="406"/>
      <c r="P50" s="378"/>
      <c r="Q50" s="378"/>
      <c r="R50" s="410"/>
      <c r="T50" s="299"/>
      <c r="U50" s="406"/>
      <c r="V50" s="406"/>
      <c r="W50" s="406"/>
      <c r="X50" s="406"/>
      <c r="Y50" s="378"/>
      <c r="Z50" s="378"/>
      <c r="AA50" s="410"/>
      <c r="AC50" s="299"/>
      <c r="AD50" s="406"/>
      <c r="AE50" s="406"/>
      <c r="AF50" s="406"/>
      <c r="AG50" s="406"/>
      <c r="AH50" s="378"/>
      <c r="AI50" s="378"/>
      <c r="AJ50" s="410"/>
      <c r="AL50" s="299"/>
      <c r="AM50" s="406"/>
      <c r="AN50" s="406"/>
      <c r="AO50" s="406"/>
      <c r="AP50" s="406"/>
      <c r="AQ50" s="378"/>
      <c r="AR50" s="378"/>
      <c r="AS50" s="410"/>
      <c r="AU50" s="299"/>
      <c r="AV50" s="406"/>
      <c r="AW50" s="406"/>
      <c r="AX50" s="406"/>
      <c r="AY50" s="406"/>
      <c r="AZ50" s="378"/>
      <c r="BA50" s="378"/>
      <c r="BB50" s="410"/>
    </row>
  </sheetData>
  <sheetProtection algorithmName="SHA-512" hashValue="R9KCKRDoO/kPgT/IgWHQjfAMQ2IYSg9tNYESQYtYYLIWCUQ67Lk2YGhs2DJ3QUaCrpoH3kR89aUAz0aLYBcNuQ==" saltValue="3onLkC7MQQ+ElXqBGHSmuQ==" spinCount="100000" sheet="1" objects="1" scenarios="1"/>
  <mergeCells count="18">
    <mergeCell ref="B5:C5"/>
    <mergeCell ref="B3:C3"/>
    <mergeCell ref="I4:I5"/>
    <mergeCell ref="K3:L3"/>
    <mergeCell ref="R4:R5"/>
    <mergeCell ref="K5:L5"/>
    <mergeCell ref="T3:U3"/>
    <mergeCell ref="AA4:AA5"/>
    <mergeCell ref="T5:U5"/>
    <mergeCell ref="BB4:BB5"/>
    <mergeCell ref="AU5:AV5"/>
    <mergeCell ref="AJ4:AJ5"/>
    <mergeCell ref="AC5:AD5"/>
    <mergeCell ref="AL3:AM3"/>
    <mergeCell ref="AS4:AS5"/>
    <mergeCell ref="AL5:AM5"/>
    <mergeCell ref="AU3:AV3"/>
    <mergeCell ref="AC3:AD3"/>
  </mergeCells>
  <phoneticPr fontId="70"/>
  <pageMargins left="0.7" right="0.7" top="0.75" bottom="0.75" header="0.3" footer="0.3"/>
  <pageSetup paperSize="9"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34856-B8FF-468D-944E-5DEA60CD5F20}">
  <dimension ref="A1:H44"/>
  <sheetViews>
    <sheetView zoomScale="70" zoomScaleNormal="70" workbookViewId="0">
      <selection activeCell="K32" sqref="K32"/>
    </sheetView>
  </sheetViews>
  <sheetFormatPr defaultColWidth="11.54296875" defaultRowHeight="12.75" customHeight="1" x14ac:dyDescent="0.5"/>
  <cols>
    <col min="1" max="1" width="15.54296875" style="526" customWidth="1"/>
    <col min="2" max="2" width="6.54296875" style="526" customWidth="1"/>
    <col min="3" max="3" width="13.90625" style="526" customWidth="1"/>
    <col min="4" max="7" width="8.90625" style="526" customWidth="1"/>
    <col min="8" max="8" width="5.26953125" style="526" customWidth="1"/>
    <col min="9" max="16384" width="11.54296875" style="526"/>
  </cols>
  <sheetData>
    <row r="1" spans="1:8" ht="12.75" customHeight="1" x14ac:dyDescent="0.5">
      <c r="A1" s="643" t="s">
        <v>275</v>
      </c>
      <c r="B1" s="643"/>
      <c r="C1" s="643"/>
      <c r="D1" s="524" t="s">
        <v>276</v>
      </c>
      <c r="E1" s="524" t="s">
        <v>277</v>
      </c>
      <c r="F1" s="524" t="s">
        <v>278</v>
      </c>
      <c r="G1" s="524" t="s">
        <v>279</v>
      </c>
      <c r="H1" s="525"/>
    </row>
    <row r="2" spans="1:8" ht="26" x14ac:dyDescent="0.5">
      <c r="A2" s="643"/>
      <c r="B2" s="643"/>
      <c r="C2" s="643"/>
      <c r="D2" s="527" t="s">
        <v>280</v>
      </c>
      <c r="E2" s="527" t="s">
        <v>281</v>
      </c>
      <c r="F2" s="527" t="s">
        <v>282</v>
      </c>
      <c r="G2" s="527" t="s">
        <v>283</v>
      </c>
      <c r="H2" s="525"/>
    </row>
    <row r="3" spans="1:8" ht="24" x14ac:dyDescent="0.5">
      <c r="A3" s="528" t="s">
        <v>5</v>
      </c>
      <c r="B3" s="528" t="s">
        <v>284</v>
      </c>
      <c r="C3" s="529" t="s">
        <v>285</v>
      </c>
      <c r="D3" s="524" t="s">
        <v>286</v>
      </c>
      <c r="E3" s="524" t="s">
        <v>287</v>
      </c>
      <c r="F3" s="524" t="s">
        <v>288</v>
      </c>
      <c r="G3" s="524" t="s">
        <v>289</v>
      </c>
      <c r="H3" s="525" t="s">
        <v>290</v>
      </c>
    </row>
    <row r="4" spans="1:8" ht="16.399999999999999" customHeight="1" x14ac:dyDescent="0.5">
      <c r="A4" s="528" t="s">
        <v>238</v>
      </c>
      <c r="B4" s="530">
        <v>6451</v>
      </c>
      <c r="C4" s="529" t="s">
        <v>291</v>
      </c>
      <c r="D4" s="531">
        <v>755.33500000000004</v>
      </c>
      <c r="E4" s="531">
        <v>544.20119999999997</v>
      </c>
      <c r="F4" s="531">
        <v>464.92635000000001</v>
      </c>
      <c r="G4" s="531">
        <v>429.51150000000001</v>
      </c>
      <c r="H4" s="532" t="s">
        <v>239</v>
      </c>
    </row>
    <row r="5" spans="1:8" ht="16.399999999999999" customHeight="1" x14ac:dyDescent="0.5">
      <c r="A5" s="533" t="s">
        <v>240</v>
      </c>
      <c r="B5" s="534">
        <v>6471</v>
      </c>
      <c r="C5" s="535" t="s">
        <v>292</v>
      </c>
      <c r="D5" s="531">
        <v>773.66099999999994</v>
      </c>
      <c r="E5" s="531">
        <v>580.60919999999999</v>
      </c>
      <c r="F5" s="531">
        <v>489.79874999999998</v>
      </c>
      <c r="G5" s="531">
        <v>449.21249999999998</v>
      </c>
      <c r="H5" s="532" t="s">
        <v>239</v>
      </c>
    </row>
    <row r="6" spans="1:8" ht="16.399999999999999" customHeight="1" x14ac:dyDescent="0.5">
      <c r="A6" s="536" t="s">
        <v>241</v>
      </c>
      <c r="B6" s="537">
        <v>6793</v>
      </c>
      <c r="C6" s="529" t="s">
        <v>293</v>
      </c>
      <c r="D6" s="531">
        <v>801.3</v>
      </c>
      <c r="E6" s="538">
        <v>578.79999999999995</v>
      </c>
      <c r="F6" s="538">
        <v>502.55</v>
      </c>
      <c r="G6" s="538">
        <v>479.15</v>
      </c>
    </row>
    <row r="7" spans="1:8" ht="16.399999999999999" customHeight="1" x14ac:dyDescent="0.5">
      <c r="A7" s="539" t="s">
        <v>198</v>
      </c>
      <c r="B7" s="540">
        <v>6269</v>
      </c>
      <c r="C7" s="541" t="s">
        <v>294</v>
      </c>
      <c r="D7" s="531">
        <v>799.09199999999998</v>
      </c>
      <c r="E7" s="531">
        <v>586.75919999999996</v>
      </c>
      <c r="F7" s="531">
        <v>510.92054999999999</v>
      </c>
      <c r="G7" s="531">
        <v>485.14949999999999</v>
      </c>
      <c r="H7" s="532" t="s">
        <v>239</v>
      </c>
    </row>
    <row r="8" spans="1:8" ht="16.399999999999999" customHeight="1" x14ac:dyDescent="0.5">
      <c r="A8" s="539" t="s">
        <v>165</v>
      </c>
      <c r="B8" s="542">
        <v>3663</v>
      </c>
      <c r="C8" s="541" t="s">
        <v>294</v>
      </c>
      <c r="D8" s="531">
        <v>801.101</v>
      </c>
      <c r="E8" s="531">
        <v>587.69399999999996</v>
      </c>
      <c r="F8" s="531">
        <v>512.45039999999995</v>
      </c>
      <c r="G8" s="531">
        <v>486.93150000000003</v>
      </c>
      <c r="H8" s="532" t="s">
        <v>239</v>
      </c>
    </row>
    <row r="9" spans="1:8" ht="16.399999999999999" customHeight="1" x14ac:dyDescent="0.5">
      <c r="A9" s="539" t="s">
        <v>114</v>
      </c>
      <c r="B9" s="542">
        <v>4010</v>
      </c>
      <c r="C9" s="543" t="s">
        <v>295</v>
      </c>
      <c r="D9" s="531">
        <v>823.5</v>
      </c>
      <c r="E9" s="538">
        <v>600.6</v>
      </c>
      <c r="F9" s="538">
        <v>514.9</v>
      </c>
      <c r="G9" s="538">
        <v>492.45</v>
      </c>
    </row>
    <row r="10" spans="1:8" ht="16.399999999999999" customHeight="1" x14ac:dyDescent="0.5">
      <c r="A10" s="539" t="s">
        <v>115</v>
      </c>
      <c r="B10" s="542">
        <v>380</v>
      </c>
      <c r="C10" s="543" t="s">
        <v>295</v>
      </c>
      <c r="D10" s="531">
        <v>822.2</v>
      </c>
      <c r="E10" s="538">
        <v>597.15</v>
      </c>
      <c r="F10" s="538">
        <v>520</v>
      </c>
      <c r="G10" s="538">
        <v>497.25</v>
      </c>
    </row>
    <row r="11" spans="1:8" ht="16.399999999999999" customHeight="1" x14ac:dyDescent="0.5">
      <c r="A11" s="539" t="s">
        <v>242</v>
      </c>
      <c r="B11" s="542">
        <v>5797</v>
      </c>
      <c r="C11" s="541" t="s">
        <v>296</v>
      </c>
      <c r="D11" s="531">
        <v>817.85900000000004</v>
      </c>
      <c r="E11" s="531">
        <v>603.0444</v>
      </c>
      <c r="F11" s="531">
        <v>524.68920000000003</v>
      </c>
      <c r="G11" s="531">
        <v>498.86099999999999</v>
      </c>
      <c r="H11" s="532" t="s">
        <v>239</v>
      </c>
    </row>
    <row r="12" spans="1:8" ht="16.399999999999999" customHeight="1" x14ac:dyDescent="0.5">
      <c r="A12" s="539" t="s">
        <v>111</v>
      </c>
      <c r="B12" s="542">
        <v>1733</v>
      </c>
      <c r="C12" s="541" t="s">
        <v>297</v>
      </c>
      <c r="D12" s="531">
        <v>852.05</v>
      </c>
      <c r="E12" s="538">
        <v>616.6</v>
      </c>
      <c r="F12" s="538">
        <v>527.1</v>
      </c>
      <c r="G12" s="538">
        <v>501.85</v>
      </c>
    </row>
    <row r="13" spans="1:8" ht="16.399999999999999" customHeight="1" x14ac:dyDescent="0.5">
      <c r="A13" s="539" t="s">
        <v>24</v>
      </c>
      <c r="B13" s="544">
        <v>199</v>
      </c>
      <c r="C13" s="541" t="s">
        <v>298</v>
      </c>
      <c r="D13" s="531">
        <v>878.35</v>
      </c>
      <c r="E13" s="538">
        <v>625.95000000000005</v>
      </c>
      <c r="F13" s="538">
        <v>533.85</v>
      </c>
      <c r="G13" s="538">
        <v>505.6</v>
      </c>
    </row>
    <row r="14" spans="1:8" ht="16.399999999999999" customHeight="1" x14ac:dyDescent="0.5">
      <c r="A14" s="539" t="s">
        <v>26</v>
      </c>
      <c r="B14" s="542">
        <v>321</v>
      </c>
      <c r="C14" s="541" t="s">
        <v>296</v>
      </c>
      <c r="D14" s="531">
        <v>844.85</v>
      </c>
      <c r="E14" s="538">
        <v>618.1</v>
      </c>
      <c r="F14" s="538">
        <v>534.6</v>
      </c>
      <c r="G14" s="538">
        <v>507.65</v>
      </c>
    </row>
    <row r="15" spans="1:8" ht="16.399999999999999" customHeight="1" x14ac:dyDescent="0.5">
      <c r="A15" s="539" t="s">
        <v>27</v>
      </c>
      <c r="B15" s="544">
        <v>2212</v>
      </c>
      <c r="C15" s="541" t="s">
        <v>299</v>
      </c>
      <c r="D15" s="531">
        <v>892.4</v>
      </c>
      <c r="E15" s="538">
        <v>634</v>
      </c>
      <c r="F15" s="538">
        <v>535.79999999999995</v>
      </c>
      <c r="G15" s="538">
        <v>512.6</v>
      </c>
    </row>
    <row r="16" spans="1:8" ht="16.399999999999999" customHeight="1" x14ac:dyDescent="0.5">
      <c r="A16" s="539" t="s">
        <v>243</v>
      </c>
      <c r="B16" s="542">
        <v>2759</v>
      </c>
      <c r="C16" s="541" t="s">
        <v>300</v>
      </c>
      <c r="D16" s="531">
        <v>836.1</v>
      </c>
      <c r="E16" s="538">
        <v>617.25</v>
      </c>
      <c r="F16" s="538">
        <v>536.54999999999995</v>
      </c>
      <c r="G16" s="538">
        <v>509.55</v>
      </c>
    </row>
    <row r="17" spans="1:8" ht="16.399999999999999" customHeight="1" x14ac:dyDescent="0.5">
      <c r="A17" s="529" t="s">
        <v>116</v>
      </c>
      <c r="B17" s="545">
        <v>6714</v>
      </c>
      <c r="C17" s="529" t="s">
        <v>301</v>
      </c>
      <c r="D17" s="531">
        <v>860.58699999999999</v>
      </c>
      <c r="E17" s="531">
        <v>623.36400000000003</v>
      </c>
      <c r="F17" s="531">
        <v>539.83965000000001</v>
      </c>
      <c r="G17" s="531">
        <v>520.49249999999995</v>
      </c>
      <c r="H17" s="532" t="s">
        <v>239</v>
      </c>
    </row>
    <row r="18" spans="1:8" ht="16.399999999999999" customHeight="1" x14ac:dyDescent="0.5">
      <c r="A18" s="539" t="s">
        <v>205</v>
      </c>
      <c r="B18" s="542">
        <v>346</v>
      </c>
      <c r="C18" s="541" t="s">
        <v>295</v>
      </c>
      <c r="D18" s="531">
        <v>849.85</v>
      </c>
      <c r="E18" s="538">
        <v>614.4</v>
      </c>
      <c r="F18" s="538">
        <v>540.6</v>
      </c>
      <c r="G18" s="538">
        <v>519.29999999999995</v>
      </c>
    </row>
    <row r="19" spans="1:8" ht="16.399999999999999" customHeight="1" x14ac:dyDescent="0.5">
      <c r="A19" s="539" t="s">
        <v>160</v>
      </c>
      <c r="B19" s="542">
        <v>5854</v>
      </c>
      <c r="C19" s="541" t="s">
        <v>302</v>
      </c>
      <c r="D19" s="531">
        <v>828.1</v>
      </c>
      <c r="E19" s="531">
        <v>618.34559999999999</v>
      </c>
      <c r="F19" s="531">
        <v>541.51755000000003</v>
      </c>
      <c r="G19" s="531">
        <v>517.077</v>
      </c>
      <c r="H19" s="532" t="s">
        <v>239</v>
      </c>
    </row>
    <row r="20" spans="1:8" ht="16.399999999999999" customHeight="1" x14ac:dyDescent="0.5">
      <c r="A20" s="529" t="s">
        <v>117</v>
      </c>
      <c r="B20" s="545">
        <v>1403</v>
      </c>
      <c r="C20" s="529" t="s">
        <v>303</v>
      </c>
      <c r="D20" s="531">
        <v>879.45</v>
      </c>
      <c r="E20" s="538">
        <v>636.6</v>
      </c>
      <c r="F20" s="538">
        <v>541.6</v>
      </c>
      <c r="G20" s="538">
        <v>519.54999999999995</v>
      </c>
    </row>
    <row r="21" spans="1:8" ht="16.399999999999999" customHeight="1" x14ac:dyDescent="0.5">
      <c r="A21" s="539" t="s">
        <v>162</v>
      </c>
      <c r="B21" s="542">
        <v>5496</v>
      </c>
      <c r="C21" s="541" t="s">
        <v>304</v>
      </c>
      <c r="D21" s="531">
        <v>868</v>
      </c>
      <c r="E21" s="538">
        <v>632.54999999999995</v>
      </c>
      <c r="F21" s="538">
        <v>542.70000000000005</v>
      </c>
      <c r="G21" s="538">
        <v>515.75</v>
      </c>
    </row>
    <row r="22" spans="1:8" ht="16.399999999999999" customHeight="1" x14ac:dyDescent="0.5">
      <c r="A22" s="539" t="s">
        <v>161</v>
      </c>
      <c r="B22" s="542">
        <v>150</v>
      </c>
      <c r="C22" s="541" t="s">
        <v>305</v>
      </c>
      <c r="D22" s="531">
        <v>844.07399999999996</v>
      </c>
      <c r="E22" s="531">
        <v>622.33079999999995</v>
      </c>
      <c r="F22" s="531">
        <v>543.88634999999999</v>
      </c>
      <c r="G22" s="531">
        <v>519.75</v>
      </c>
      <c r="H22" s="532" t="s">
        <v>239</v>
      </c>
    </row>
    <row r="23" spans="1:8" ht="16.399999999999999" customHeight="1" x14ac:dyDescent="0.5">
      <c r="A23" s="546" t="s">
        <v>273</v>
      </c>
      <c r="B23" s="542">
        <v>6971</v>
      </c>
      <c r="C23" s="539" t="s">
        <v>306</v>
      </c>
      <c r="D23" s="538">
        <v>851.25</v>
      </c>
      <c r="E23" s="531">
        <v>625.25</v>
      </c>
      <c r="F23" s="531">
        <v>544.45000000000005</v>
      </c>
      <c r="G23" s="531">
        <v>517.65</v>
      </c>
      <c r="H23" s="532"/>
    </row>
    <row r="24" spans="1:8" ht="16.399999999999999" customHeight="1" x14ac:dyDescent="0.5">
      <c r="A24" s="539" t="s">
        <v>118</v>
      </c>
      <c r="B24" s="542">
        <v>3387</v>
      </c>
      <c r="C24" s="541" t="s">
        <v>302</v>
      </c>
      <c r="D24" s="531">
        <v>847.30799999999999</v>
      </c>
      <c r="E24" s="531">
        <v>626.36519999999996</v>
      </c>
      <c r="F24" s="531">
        <v>546.40319999999997</v>
      </c>
      <c r="G24" s="531">
        <v>521.63099999999997</v>
      </c>
      <c r="H24" s="532" t="s">
        <v>239</v>
      </c>
    </row>
    <row r="25" spans="1:8" ht="16.399999999999999" customHeight="1" x14ac:dyDescent="0.5">
      <c r="A25" s="539" t="s">
        <v>244</v>
      </c>
      <c r="B25" s="544">
        <v>162</v>
      </c>
      <c r="C25" s="539" t="s">
        <v>306</v>
      </c>
      <c r="D25" s="531">
        <v>864.15</v>
      </c>
      <c r="E25" s="538">
        <v>633.29999999999995</v>
      </c>
      <c r="F25" s="538">
        <v>547.54999999999995</v>
      </c>
      <c r="G25" s="538">
        <v>522.5</v>
      </c>
    </row>
    <row r="26" spans="1:8" ht="16.399999999999999" customHeight="1" x14ac:dyDescent="0.5">
      <c r="A26" s="539" t="s">
        <v>29</v>
      </c>
      <c r="B26" s="544">
        <v>6732</v>
      </c>
      <c r="C26" s="541" t="s">
        <v>307</v>
      </c>
      <c r="D26" s="531">
        <v>847.95</v>
      </c>
      <c r="E26" s="538">
        <v>621.35</v>
      </c>
      <c r="F26" s="538">
        <v>547.65</v>
      </c>
      <c r="G26" s="538">
        <v>523.75</v>
      </c>
    </row>
    <row r="27" spans="1:8" ht="16.399999999999999" customHeight="1" x14ac:dyDescent="0.5">
      <c r="A27" s="539" t="s">
        <v>206</v>
      </c>
      <c r="B27" s="542">
        <v>6735</v>
      </c>
      <c r="C27" s="541" t="s">
        <v>308</v>
      </c>
      <c r="D27" s="531">
        <v>852.9</v>
      </c>
      <c r="E27" s="538">
        <v>623.65</v>
      </c>
      <c r="F27" s="538">
        <v>549.6</v>
      </c>
      <c r="G27" s="538">
        <v>525.15</v>
      </c>
    </row>
    <row r="28" spans="1:8" ht="16.399999999999999" customHeight="1" x14ac:dyDescent="0.5">
      <c r="A28" s="539" t="s">
        <v>207</v>
      </c>
      <c r="B28" s="542">
        <v>4071</v>
      </c>
      <c r="C28" s="541" t="s">
        <v>309</v>
      </c>
      <c r="D28" s="531">
        <v>917.35</v>
      </c>
      <c r="E28" s="538">
        <v>654.9</v>
      </c>
      <c r="F28" s="538">
        <v>553.04999999999995</v>
      </c>
      <c r="G28" s="538">
        <v>529.04999999999995</v>
      </c>
    </row>
    <row r="29" spans="1:8" ht="16.399999999999999" customHeight="1" x14ac:dyDescent="0.5">
      <c r="A29" s="539" t="s">
        <v>28</v>
      </c>
      <c r="B29" s="542">
        <v>6766</v>
      </c>
      <c r="C29" s="541" t="s">
        <v>305</v>
      </c>
      <c r="D29" s="531">
        <v>867.15</v>
      </c>
      <c r="E29" s="538">
        <v>635.35</v>
      </c>
      <c r="F29" s="538">
        <v>553.70000000000005</v>
      </c>
      <c r="G29" s="538">
        <v>528.6</v>
      </c>
    </row>
    <row r="30" spans="1:8" ht="16.399999999999999" customHeight="1" x14ac:dyDescent="0.5">
      <c r="A30" s="539" t="s">
        <v>199</v>
      </c>
      <c r="B30" s="542">
        <v>5275</v>
      </c>
      <c r="C30" s="541" t="s">
        <v>310</v>
      </c>
      <c r="D30" s="531">
        <v>913.3</v>
      </c>
      <c r="E30" s="538">
        <v>651</v>
      </c>
      <c r="F30" s="538">
        <v>557.35</v>
      </c>
      <c r="G30" s="538">
        <v>532.15</v>
      </c>
    </row>
    <row r="31" spans="1:8" ht="16.399999999999999" customHeight="1" x14ac:dyDescent="0.5">
      <c r="A31" s="539" t="s">
        <v>23</v>
      </c>
      <c r="B31" s="542">
        <v>131</v>
      </c>
      <c r="C31" s="541" t="s">
        <v>311</v>
      </c>
      <c r="D31" s="531">
        <v>884</v>
      </c>
      <c r="E31" s="538">
        <v>643.75</v>
      </c>
      <c r="F31" s="538">
        <v>561.54999999999995</v>
      </c>
      <c r="G31" s="538">
        <v>542.35</v>
      </c>
    </row>
    <row r="32" spans="1:8" ht="16.399999999999999" customHeight="1" x14ac:dyDescent="0.5">
      <c r="A32" s="539" t="s">
        <v>197</v>
      </c>
      <c r="B32" s="542">
        <v>1611</v>
      </c>
      <c r="C32" s="541" t="s">
        <v>312</v>
      </c>
      <c r="D32" s="531">
        <v>921.65</v>
      </c>
      <c r="E32" s="538">
        <v>657.9</v>
      </c>
      <c r="F32" s="538">
        <v>561.54999999999995</v>
      </c>
      <c r="G32" s="538">
        <v>540.29999999999995</v>
      </c>
    </row>
    <row r="33" spans="1:8" ht="16.399999999999999" customHeight="1" x14ac:dyDescent="0.5">
      <c r="A33" s="539" t="s">
        <v>25</v>
      </c>
      <c r="B33" s="542">
        <v>312</v>
      </c>
      <c r="C33" s="541" t="s">
        <v>313</v>
      </c>
      <c r="D33" s="531">
        <v>896.25</v>
      </c>
      <c r="E33" s="538">
        <v>650.25</v>
      </c>
      <c r="F33" s="538">
        <v>563.54999999999995</v>
      </c>
      <c r="G33" s="538">
        <v>541</v>
      </c>
    </row>
    <row r="34" spans="1:8" ht="16.399999999999999" customHeight="1" x14ac:dyDescent="0.5">
      <c r="A34" s="539" t="s">
        <v>215</v>
      </c>
      <c r="B34" s="542">
        <v>5537</v>
      </c>
      <c r="C34" s="541" t="s">
        <v>314</v>
      </c>
      <c r="D34" s="531">
        <v>896.05</v>
      </c>
      <c r="E34" s="538">
        <v>653</v>
      </c>
      <c r="F34" s="538">
        <v>564.20000000000005</v>
      </c>
      <c r="G34" s="538">
        <v>538.6</v>
      </c>
      <c r="H34" s="532"/>
    </row>
    <row r="35" spans="1:8" ht="16.399999999999999" customHeight="1" x14ac:dyDescent="0.5">
      <c r="A35" s="539" t="s">
        <v>216</v>
      </c>
      <c r="B35" s="544">
        <v>7177</v>
      </c>
      <c r="C35" s="547" t="s">
        <v>315</v>
      </c>
      <c r="D35" s="531">
        <v>920.75</v>
      </c>
      <c r="E35" s="538">
        <v>661.75</v>
      </c>
      <c r="F35" s="538">
        <v>570.9</v>
      </c>
      <c r="G35" s="538">
        <v>547.9</v>
      </c>
    </row>
    <row r="36" spans="1:8" ht="16.399999999999999" customHeight="1" x14ac:dyDescent="0.5">
      <c r="A36" s="539" t="s">
        <v>119</v>
      </c>
      <c r="B36" s="542">
        <v>4832</v>
      </c>
      <c r="C36" s="541" t="s">
        <v>316</v>
      </c>
      <c r="D36" s="531">
        <v>881.9</v>
      </c>
      <c r="E36" s="538">
        <v>653.65</v>
      </c>
      <c r="F36" s="538">
        <v>571.29999999999995</v>
      </c>
      <c r="G36" s="538">
        <v>546.45000000000005</v>
      </c>
      <c r="H36" s="532"/>
    </row>
    <row r="37" spans="1:8" ht="16.399999999999999" customHeight="1" x14ac:dyDescent="0.5">
      <c r="A37" s="539" t="s">
        <v>208</v>
      </c>
      <c r="B37" s="542">
        <v>4020</v>
      </c>
      <c r="C37" s="541" t="s">
        <v>317</v>
      </c>
      <c r="D37" s="531">
        <v>886.2</v>
      </c>
      <c r="E37" s="538">
        <v>661.15</v>
      </c>
      <c r="F37" s="538">
        <v>578.5</v>
      </c>
      <c r="G37" s="538">
        <v>555.15</v>
      </c>
    </row>
    <row r="38" spans="1:8" ht="16.399999999999999" customHeight="1" x14ac:dyDescent="0.5">
      <c r="A38" s="539" t="s">
        <v>209</v>
      </c>
      <c r="B38" s="542">
        <v>7014</v>
      </c>
      <c r="C38" s="541" t="s">
        <v>318</v>
      </c>
      <c r="D38" s="531">
        <v>993.75</v>
      </c>
      <c r="E38" s="538">
        <v>701.2</v>
      </c>
      <c r="F38" s="538">
        <v>581.85</v>
      </c>
      <c r="G38" s="538">
        <v>555.95000000000005</v>
      </c>
    </row>
    <row r="39" spans="1:8" ht="16.399999999999999" customHeight="1" x14ac:dyDescent="0.5">
      <c r="A39" s="539" t="s">
        <v>185</v>
      </c>
      <c r="B39" s="537">
        <v>6934</v>
      </c>
      <c r="C39" s="541" t="s">
        <v>319</v>
      </c>
      <c r="D39" s="531">
        <v>975.93299999999999</v>
      </c>
      <c r="E39" s="531">
        <v>701.1</v>
      </c>
      <c r="F39" s="531">
        <v>597.87525000000005</v>
      </c>
      <c r="G39" s="531">
        <v>566.577</v>
      </c>
      <c r="H39" s="532" t="s">
        <v>239</v>
      </c>
    </row>
    <row r="40" spans="1:8" ht="16.399999999999999" customHeight="1" x14ac:dyDescent="0.5">
      <c r="A40" s="548" t="s">
        <v>30</v>
      </c>
      <c r="B40" s="542">
        <v>4469</v>
      </c>
      <c r="C40" s="549" t="s">
        <v>320</v>
      </c>
      <c r="D40" s="531">
        <v>982.45</v>
      </c>
      <c r="E40" s="538">
        <v>710.85</v>
      </c>
      <c r="F40" s="538">
        <v>606.85</v>
      </c>
      <c r="G40" s="538">
        <v>583.5</v>
      </c>
    </row>
    <row r="41" spans="1:8" ht="16.399999999999999" customHeight="1" x14ac:dyDescent="0.5">
      <c r="A41" s="529" t="s">
        <v>184</v>
      </c>
      <c r="B41" s="542">
        <v>5273</v>
      </c>
      <c r="C41" s="541" t="s">
        <v>321</v>
      </c>
      <c r="D41" s="531">
        <v>1035.6500000000001</v>
      </c>
      <c r="E41" s="538">
        <v>748.9</v>
      </c>
      <c r="F41" s="538">
        <v>642.45000000000005</v>
      </c>
      <c r="G41" s="538">
        <v>617.1</v>
      </c>
    </row>
    <row r="42" spans="1:8" ht="16.399999999999999" customHeight="1" x14ac:dyDescent="0.5">
      <c r="A42" s="525"/>
      <c r="B42" s="525"/>
      <c r="C42" s="525" t="s">
        <v>322</v>
      </c>
      <c r="D42" s="525">
        <v>0.98</v>
      </c>
      <c r="E42" s="525">
        <v>0.98399999999999999</v>
      </c>
      <c r="F42" s="525">
        <v>0.98699999999999999</v>
      </c>
      <c r="G42" s="525">
        <v>0.99</v>
      </c>
      <c r="H42" s="525"/>
    </row>
    <row r="43" spans="1:8" ht="16.399999999999999" customHeight="1" x14ac:dyDescent="0.5">
      <c r="C43" s="644" t="s">
        <v>323</v>
      </c>
      <c r="D43" s="644"/>
      <c r="E43" s="644"/>
      <c r="F43" s="644"/>
      <c r="G43" s="644"/>
      <c r="H43" s="644"/>
    </row>
    <row r="44" spans="1:8" ht="16.399999999999999" customHeight="1" x14ac:dyDescent="0.5">
      <c r="C44" s="644"/>
      <c r="D44" s="644"/>
      <c r="E44" s="644"/>
      <c r="F44" s="644"/>
      <c r="G44" s="644"/>
      <c r="H44" s="644"/>
    </row>
  </sheetData>
  <mergeCells count="2">
    <mergeCell ref="A1:C2"/>
    <mergeCell ref="C43:H44"/>
  </mergeCells>
  <phoneticPr fontId="70"/>
  <pageMargins left="0.78749999999999998" right="0.78749999999999998" top="0.78749999999999998" bottom="0.78749999999999998" header="0.511811023622047" footer="0.511811023622047"/>
  <pageSetup paperSize="9" orientation="portrait" useFirstPageNumber="1"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42"/>
  <sheetViews>
    <sheetView topLeftCell="A9" zoomScale="85" zoomScaleNormal="85" workbookViewId="0">
      <selection activeCell="F7" sqref="F7:F21"/>
    </sheetView>
  </sheetViews>
  <sheetFormatPr defaultColWidth="9" defaultRowHeight="13" x14ac:dyDescent="0.2"/>
  <cols>
    <col min="1" max="1" width="1.7265625" style="142" customWidth="1"/>
    <col min="2" max="2" width="5" style="142" customWidth="1"/>
    <col min="3" max="3" width="7" style="142" customWidth="1"/>
    <col min="4" max="4" width="18" style="142" customWidth="1"/>
    <col min="5" max="5" width="8" style="142" hidden="1" customWidth="1"/>
    <col min="6" max="6" width="5" style="142" customWidth="1"/>
    <col min="7" max="7" width="10.90625" style="142" customWidth="1"/>
    <col min="8" max="8" width="8.36328125" style="142" customWidth="1"/>
    <col min="9" max="9" width="8.6328125" style="142" customWidth="1"/>
    <col min="10" max="10" width="5" style="142" customWidth="1"/>
    <col min="11" max="11" width="8.453125" style="142" customWidth="1"/>
    <col min="12" max="12" width="10.90625" style="142" customWidth="1"/>
    <col min="13" max="13" width="9.453125" style="142" customWidth="1"/>
    <col min="14" max="14" width="7.90625" style="142" customWidth="1"/>
    <col min="15" max="15" width="8" style="142" customWidth="1"/>
    <col min="16" max="16" width="12" style="142" bestFit="1" customWidth="1"/>
    <col min="17" max="17" width="11.6328125" style="142" customWidth="1"/>
    <col min="18" max="18" width="1.6328125" style="142" customWidth="1"/>
    <col min="19" max="19" width="4.90625" style="142" customWidth="1"/>
    <col min="20" max="22" width="7.6328125" style="142" hidden="1" customWidth="1"/>
    <col min="23" max="23" width="8.26953125" style="142" customWidth="1"/>
    <col min="24" max="26" width="7.6328125" style="142" customWidth="1"/>
    <col min="27" max="27" width="4.453125" style="142" customWidth="1"/>
    <col min="28" max="30" width="8" style="142" customWidth="1"/>
    <col min="31" max="16384" width="9" style="142"/>
  </cols>
  <sheetData>
    <row r="1" spans="1:32" ht="9.75" customHeight="1" thickBot="1" x14ac:dyDescent="0.25">
      <c r="A1" s="67"/>
      <c r="B1" s="67"/>
      <c r="C1" s="67"/>
      <c r="D1" s="67"/>
      <c r="E1" s="67"/>
      <c r="F1" s="67"/>
      <c r="G1" s="67"/>
      <c r="H1" s="67"/>
      <c r="I1" s="67"/>
      <c r="J1" s="67"/>
      <c r="K1" s="67"/>
      <c r="L1" s="67"/>
      <c r="M1" s="67"/>
      <c r="N1" s="67"/>
      <c r="O1" s="67"/>
      <c r="P1" s="67"/>
      <c r="Q1" s="67"/>
      <c r="R1" s="67"/>
      <c r="S1" s="67"/>
    </row>
    <row r="2" spans="1:32" ht="21" x14ac:dyDescent="0.3">
      <c r="A2" s="67"/>
      <c r="B2" s="59"/>
      <c r="C2" s="60"/>
      <c r="D2" s="563" t="str">
        <f>参照ﾃﾞｰﾀ!F4</f>
        <v>2026年</v>
      </c>
      <c r="E2" s="563"/>
      <c r="F2" s="563"/>
      <c r="G2" s="61" t="s">
        <v>142</v>
      </c>
      <c r="H2" s="62"/>
      <c r="I2" s="63"/>
      <c r="J2" s="59"/>
      <c r="K2" s="64"/>
      <c r="L2" s="59"/>
      <c r="M2" s="65" t="s">
        <v>33</v>
      </c>
      <c r="N2" s="457" t="str">
        <f>参照ﾃﾞｰﾀ!AA5</f>
        <v>E</v>
      </c>
      <c r="O2" s="66" t="s">
        <v>35</v>
      </c>
      <c r="P2" s="183">
        <f>参照ﾃﾞｰﾀ!J5</f>
        <v>46068</v>
      </c>
      <c r="Q2" s="507">
        <v>0.4375</v>
      </c>
      <c r="R2" s="259"/>
      <c r="S2" s="59"/>
      <c r="T2" s="144" t="s">
        <v>2</v>
      </c>
      <c r="U2" s="143"/>
      <c r="V2" s="143"/>
      <c r="W2" s="144" t="str">
        <f>参照ＴＡ!AC3</f>
        <v>2026年</v>
      </c>
      <c r="X2" s="144" t="str">
        <f>参照ＴＡ!M3</f>
        <v>2月</v>
      </c>
      <c r="Y2" s="143"/>
      <c r="Z2" s="143"/>
      <c r="AA2" s="143"/>
    </row>
    <row r="3" spans="1:32" ht="21.75" customHeight="1" thickBot="1" x14ac:dyDescent="0.35">
      <c r="A3" s="67"/>
      <c r="B3" s="59"/>
      <c r="C3" s="67"/>
      <c r="D3" s="68" t="str">
        <f>参照ﾃﾞｰﾀ!M5</f>
        <v>＃617</v>
      </c>
      <c r="E3" s="564" t="s">
        <v>45</v>
      </c>
      <c r="F3" s="564"/>
      <c r="G3" s="564"/>
      <c r="H3" s="564"/>
      <c r="I3" s="564"/>
      <c r="J3" s="565" t="s">
        <v>36</v>
      </c>
      <c r="K3" s="565"/>
      <c r="L3" s="59"/>
      <c r="M3" s="69" t="s">
        <v>56</v>
      </c>
      <c r="N3" s="70">
        <f>IF(ISBLANK(N2),"",VLOOKUP(N2,コース・距離,2,FALSE))</f>
        <v>11.3</v>
      </c>
      <c r="O3" s="71" t="s">
        <v>0</v>
      </c>
      <c r="P3" s="456">
        <v>15</v>
      </c>
      <c r="Q3" s="72" t="s">
        <v>1</v>
      </c>
      <c r="R3" s="260"/>
      <c r="S3" s="59"/>
      <c r="T3" s="143" t="s">
        <v>168</v>
      </c>
      <c r="U3" s="143"/>
      <c r="V3" s="143"/>
      <c r="W3" s="144" t="s">
        <v>2</v>
      </c>
      <c r="X3" s="143"/>
      <c r="Y3" s="143"/>
      <c r="Z3" s="143"/>
      <c r="AA3" s="143"/>
      <c r="AB3" s="145" t="s">
        <v>57</v>
      </c>
    </row>
    <row r="4" spans="1:32" ht="7.5" customHeight="1" thickBot="1" x14ac:dyDescent="0.3">
      <c r="A4" s="67"/>
      <c r="B4" s="59"/>
      <c r="C4" s="59"/>
      <c r="D4" s="59"/>
      <c r="E4" s="59"/>
      <c r="F4" s="59"/>
      <c r="G4" s="59"/>
      <c r="H4" s="59"/>
      <c r="I4" s="59"/>
      <c r="J4" s="59"/>
      <c r="K4" s="59"/>
      <c r="L4" s="59"/>
      <c r="M4" s="59"/>
      <c r="N4" s="59"/>
      <c r="O4" s="59"/>
      <c r="P4" s="59"/>
      <c r="Q4" s="59"/>
      <c r="R4" s="59"/>
      <c r="S4" s="59"/>
      <c r="T4" s="143"/>
      <c r="U4" s="143"/>
      <c r="V4" s="143"/>
      <c r="W4" s="146"/>
      <c r="X4" s="143"/>
      <c r="Y4" s="143"/>
      <c r="Z4" s="143"/>
      <c r="AA4" s="143"/>
    </row>
    <row r="5" spans="1:32" ht="14" x14ac:dyDescent="0.2">
      <c r="A5" s="67"/>
      <c r="B5" s="73" t="s">
        <v>3</v>
      </c>
      <c r="C5" s="74" t="s">
        <v>4</v>
      </c>
      <c r="D5" s="74" t="s">
        <v>5</v>
      </c>
      <c r="E5" s="74" t="s">
        <v>6</v>
      </c>
      <c r="F5" s="74" t="s">
        <v>7</v>
      </c>
      <c r="G5" s="74" t="s">
        <v>8</v>
      </c>
      <c r="H5" s="74" t="s">
        <v>9</v>
      </c>
      <c r="I5" s="74" t="s">
        <v>10</v>
      </c>
      <c r="J5" s="74" t="s">
        <v>11</v>
      </c>
      <c r="K5" s="74" t="s">
        <v>12</v>
      </c>
      <c r="L5" s="75" t="s">
        <v>178</v>
      </c>
      <c r="M5" s="75" t="s">
        <v>175</v>
      </c>
      <c r="N5" s="74" t="s">
        <v>52</v>
      </c>
      <c r="O5" s="74" t="s">
        <v>13</v>
      </c>
      <c r="P5" s="566" t="s">
        <v>51</v>
      </c>
      <c r="Q5" s="567"/>
      <c r="R5" s="261"/>
      <c r="S5" s="140"/>
      <c r="T5" s="149" t="s">
        <v>10</v>
      </c>
      <c r="U5" s="147" t="s">
        <v>10</v>
      </c>
      <c r="V5" s="150" t="s">
        <v>10</v>
      </c>
      <c r="W5" s="149" t="s">
        <v>10</v>
      </c>
      <c r="X5" s="147" t="s">
        <v>10</v>
      </c>
      <c r="Y5" s="316" t="s">
        <v>10</v>
      </c>
      <c r="Z5" s="150" t="s">
        <v>10</v>
      </c>
      <c r="AA5" s="148"/>
      <c r="AB5" s="149" t="s">
        <v>13</v>
      </c>
      <c r="AC5" s="147" t="s">
        <v>13</v>
      </c>
      <c r="AD5" s="316" t="s">
        <v>13</v>
      </c>
      <c r="AE5" s="147" t="s">
        <v>13</v>
      </c>
      <c r="AF5" s="374" t="s">
        <v>13</v>
      </c>
    </row>
    <row r="6" spans="1:32" ht="14" x14ac:dyDescent="0.2">
      <c r="A6" s="67"/>
      <c r="B6" s="76"/>
      <c r="C6" s="77" t="s">
        <v>14</v>
      </c>
      <c r="D6" s="78"/>
      <c r="E6" s="79" t="s">
        <v>15</v>
      </c>
      <c r="F6" s="79"/>
      <c r="G6" s="77" t="s">
        <v>16</v>
      </c>
      <c r="H6" s="79" t="s">
        <v>17</v>
      </c>
      <c r="I6" s="455" t="s">
        <v>245</v>
      </c>
      <c r="J6" s="79" t="s">
        <v>18</v>
      </c>
      <c r="K6" s="79" t="s">
        <v>17</v>
      </c>
      <c r="L6" s="77" t="s">
        <v>16</v>
      </c>
      <c r="M6" s="79" t="s">
        <v>31</v>
      </c>
      <c r="N6" s="79" t="s">
        <v>19</v>
      </c>
      <c r="O6" s="373" t="str">
        <f>参照ﾃﾞｰﾀ!K5</f>
        <v>MAX=20</v>
      </c>
      <c r="P6" s="80"/>
      <c r="Q6" s="81"/>
      <c r="R6" s="140"/>
      <c r="S6" s="141"/>
      <c r="T6" s="153" t="s">
        <v>20</v>
      </c>
      <c r="U6" s="151" t="s">
        <v>22</v>
      </c>
      <c r="V6" s="154" t="s">
        <v>21</v>
      </c>
      <c r="W6" s="153" t="s">
        <v>20</v>
      </c>
      <c r="X6" s="151" t="s">
        <v>22</v>
      </c>
      <c r="Y6" s="414" t="s">
        <v>21</v>
      </c>
      <c r="Z6" s="154" t="s">
        <v>230</v>
      </c>
      <c r="AA6" s="152"/>
      <c r="AB6" s="382" t="s">
        <v>192</v>
      </c>
      <c r="AC6" s="373" t="s">
        <v>59</v>
      </c>
      <c r="AD6" s="383" t="s">
        <v>191</v>
      </c>
      <c r="AE6" s="373" t="s">
        <v>231</v>
      </c>
      <c r="AF6" s="379" t="s">
        <v>232</v>
      </c>
    </row>
    <row r="7" spans="1:32" ht="14" x14ac:dyDescent="0.2">
      <c r="A7" s="67"/>
      <c r="B7" s="82">
        <v>1</v>
      </c>
      <c r="C7" s="83"/>
      <c r="D7" s="84" t="str">
        <f t="shared" ref="D7:D31" si="0">IF(ISBLANK(C7),"",VLOOKUP(C7,第2月ＴＡ,2,FALSE))</f>
        <v/>
      </c>
      <c r="E7" s="168" t="str">
        <f t="shared" ref="E7:E16" si="1">IF($I$6="Ⅰ",T7,IF($I$6="Ⅱ",U7,IF($I$6="Ⅲ",V7,"")))</f>
        <v/>
      </c>
      <c r="F7" s="85">
        <v>1</v>
      </c>
      <c r="G7" s="86"/>
      <c r="H7" s="83" t="str">
        <f t="shared" ref="H7:H16" si="2">IFERROR(IF(G7-$Q$2&lt;=0,"",(G7-$Q$2)*86400),"")</f>
        <v/>
      </c>
      <c r="I7" s="87" t="str">
        <f>IF($I$6="Ⅰ",W7,IF($I$6="Ⅱ",X7,IF($I$6="Ⅲ",Y7,IF($I$6="IV",Z7,""))))</f>
        <v/>
      </c>
      <c r="J7" s="85"/>
      <c r="K7" s="88" t="str">
        <f t="shared" ref="K7:K16" si="3">IFERROR(H7*(1+0.01*J7)-I7*$N$3,"")</f>
        <v/>
      </c>
      <c r="L7" s="86" t="str">
        <f t="shared" ref="L7:L16" si="4">IFERROR((K7-$K$7)/86400,"")</f>
        <v/>
      </c>
      <c r="M7" s="89" t="str">
        <f t="shared" ref="M7:M16" si="5">IFERROR((K7-$K$7)/$N$3,"")</f>
        <v/>
      </c>
      <c r="N7" s="90" t="str">
        <f t="shared" ref="N7:N16" si="6">IFERROR($N$3/(H7/3600),"")</f>
        <v/>
      </c>
      <c r="O7" s="388">
        <f t="shared" ref="O7:O8" si="7">ROUND(IF($O$6="MAX=15",AB7,IF($O$6="MAX=20",AC7,IF($O$6="MAX=25",AD7,IF($O$6="MAX=30",AE7,IF($O$6="MAX=40",AF7))))),1)</f>
        <v>20</v>
      </c>
      <c r="P7" s="173"/>
      <c r="Q7" s="91"/>
      <c r="R7" s="140"/>
      <c r="S7" s="140"/>
      <c r="T7" s="156" t="str">
        <f t="shared" ref="T7:T31" si="8">IF(ISBLANK(C7),"",VLOOKUP(C7,各艇データ,3,FALSE))</f>
        <v/>
      </c>
      <c r="U7" s="157" t="str">
        <f t="shared" ref="U7:U31" si="9">IF(ISBLANK(C7),"",VLOOKUP(C7,各艇データ,4,FALSE))</f>
        <v/>
      </c>
      <c r="V7" s="158" t="str">
        <f t="shared" ref="V7:V31" si="10">IF(ISBLANK(C7),"",VLOOKUP(C7,各艇データ,5,FALSE))</f>
        <v/>
      </c>
      <c r="W7" s="310" t="str">
        <f t="shared" ref="W7:W31" si="11">IF(ISBLANK(C7),"",VLOOKUP(C7,第2月ＴＡ,3,FALSE))</f>
        <v/>
      </c>
      <c r="X7" s="311" t="str">
        <f t="shared" ref="X7:X31" si="12">IF(ISBLANK(C7),"",VLOOKUP(C7,第2月ＴＡ,4,FALSE))</f>
        <v/>
      </c>
      <c r="Y7" s="415" t="str">
        <f t="shared" ref="Y7:Y31" si="13">IF(ISBLANK(C7),"",VLOOKUP(C7,第2月ＴＡ,5,FALSE))</f>
        <v/>
      </c>
      <c r="Z7" s="159" t="str">
        <f t="shared" ref="Z7:Z31" si="14">IF(ISBLANK(C7),"",VLOOKUP(C7,第1月ＴＡ,6,FALSE))</f>
        <v/>
      </c>
      <c r="AA7" s="148"/>
      <c r="AB7" s="160">
        <f>IF(ISBLANK($B7),"",IFERROR(15*($P$3+1-$B7)/$P$3,"15.0"))</f>
        <v>15</v>
      </c>
      <c r="AC7" s="155">
        <f>IF(ISBLANK($B7),"",IFERROR(20*($P$3+1-$B7)/$P$3,"20.0"))</f>
        <v>20</v>
      </c>
      <c r="AD7" s="155">
        <f>IF(ISBLANK($B7),"",IFERROR(25*($P$3+1-$B7)/$P$3,"25.0"))</f>
        <v>25</v>
      </c>
      <c r="AE7" s="155">
        <f>IF(ISBLANK($B7),"",IFERROR(30*($P$3+1-$B7)/$P$3,"30.0"))</f>
        <v>30</v>
      </c>
      <c r="AF7" s="384">
        <f>IF(ISBLANK($B7),"",IFERROR(40*($P$3+1-$B7)/$P$3,"40.0"))</f>
        <v>40</v>
      </c>
    </row>
    <row r="8" spans="1:32" ht="14" x14ac:dyDescent="0.2">
      <c r="A8" s="67"/>
      <c r="B8" s="92">
        <v>2</v>
      </c>
      <c r="C8" s="93"/>
      <c r="D8" s="94" t="str">
        <f t="shared" si="0"/>
        <v/>
      </c>
      <c r="E8" s="169" t="str">
        <f t="shared" si="1"/>
        <v/>
      </c>
      <c r="F8" s="95">
        <v>2</v>
      </c>
      <c r="G8" s="96"/>
      <c r="H8" s="93" t="str">
        <f t="shared" si="2"/>
        <v/>
      </c>
      <c r="I8" s="97" t="str">
        <f t="shared" ref="I8:I31" si="15">IF($I$6="Ⅰ",W8,IF($I$6="Ⅱ",X8,IF($I$6="Ⅲ",Y8,IF($I$6="IV",Z8,""))))</f>
        <v/>
      </c>
      <c r="J8" s="95"/>
      <c r="K8" s="98" t="str">
        <f t="shared" si="3"/>
        <v/>
      </c>
      <c r="L8" s="96" t="str">
        <f t="shared" si="4"/>
        <v/>
      </c>
      <c r="M8" s="99" t="str">
        <f t="shared" si="5"/>
        <v/>
      </c>
      <c r="N8" s="100" t="str">
        <f t="shared" si="6"/>
        <v/>
      </c>
      <c r="O8" s="339">
        <f t="shared" si="7"/>
        <v>18.7</v>
      </c>
      <c r="P8" s="164"/>
      <c r="Q8" s="102"/>
      <c r="R8" s="140"/>
      <c r="S8" s="140"/>
      <c r="T8" s="156" t="str">
        <f t="shared" si="8"/>
        <v/>
      </c>
      <c r="U8" s="157" t="str">
        <f t="shared" si="9"/>
        <v/>
      </c>
      <c r="V8" s="158" t="str">
        <f t="shared" si="10"/>
        <v/>
      </c>
      <c r="W8" s="310" t="str">
        <f t="shared" si="11"/>
        <v/>
      </c>
      <c r="X8" s="311" t="str">
        <f t="shared" si="12"/>
        <v/>
      </c>
      <c r="Y8" s="415" t="str">
        <f t="shared" si="13"/>
        <v/>
      </c>
      <c r="Z8" s="159" t="str">
        <f t="shared" si="14"/>
        <v/>
      </c>
      <c r="AA8" s="148"/>
      <c r="AB8" s="160">
        <f t="shared" ref="AB8:AB30" si="16">IF(ISBLANK($B8),"",IFERROR(15*($P$3+1-$B8)/$P$3,"15.0"))</f>
        <v>14</v>
      </c>
      <c r="AC8" s="155">
        <f t="shared" ref="AC8:AC30" si="17">IF(ISBLANK($B8),"",IFERROR(20*($P$3+1-$B8)/$P$3,"20.0"))</f>
        <v>18.666666666666668</v>
      </c>
      <c r="AD8" s="155">
        <f t="shared" ref="AD8:AD30" si="18">IF(ISBLANK($B8),"",IFERROR(25*($P$3+1-$B8)/$P$3,"25.0"))</f>
        <v>23.333333333333332</v>
      </c>
      <c r="AE8" s="155">
        <f t="shared" ref="AE8:AE26" si="19">IF(ISBLANK($B8),"",IFERROR(30*($P$3+1-$B8)/$P$3,"30.0"))</f>
        <v>28</v>
      </c>
      <c r="AF8" s="384">
        <f t="shared" ref="AF8:AF31" si="20">IF(ISBLANK($B8),"",IFERROR(40*($P$3+1-$B8)/$P$3,"40.0"))</f>
        <v>37.333333333333336</v>
      </c>
    </row>
    <row r="9" spans="1:32" ht="14" x14ac:dyDescent="0.2">
      <c r="A9" s="67"/>
      <c r="B9" s="92">
        <v>3</v>
      </c>
      <c r="C9" s="93"/>
      <c r="D9" s="94" t="str">
        <f t="shared" si="0"/>
        <v/>
      </c>
      <c r="E9" s="169" t="str">
        <f t="shared" si="1"/>
        <v/>
      </c>
      <c r="F9" s="95">
        <v>3</v>
      </c>
      <c r="G9" s="96"/>
      <c r="H9" s="93" t="str">
        <f t="shared" si="2"/>
        <v/>
      </c>
      <c r="I9" s="97" t="str">
        <f t="shared" si="15"/>
        <v/>
      </c>
      <c r="J9" s="95"/>
      <c r="K9" s="98" t="str">
        <f t="shared" si="3"/>
        <v/>
      </c>
      <c r="L9" s="96" t="str">
        <f t="shared" si="4"/>
        <v/>
      </c>
      <c r="M9" s="99" t="str">
        <f t="shared" si="5"/>
        <v/>
      </c>
      <c r="N9" s="100" t="str">
        <f t="shared" si="6"/>
        <v/>
      </c>
      <c r="O9" s="155">
        <f>ROUND(IF($O$6="MAX=15",AB9,IF($O$6="MAX=20",AC9,IF($O$6="MAX=25",AD9,IF($O$6="MAX=30",AE9,IF($O$6="MAX=40",AF9))))),1)</f>
        <v>17.3</v>
      </c>
      <c r="P9" s="101"/>
      <c r="Q9" s="102"/>
      <c r="R9" s="140"/>
      <c r="S9" s="140"/>
      <c r="T9" s="156" t="str">
        <f t="shared" si="8"/>
        <v/>
      </c>
      <c r="U9" s="157" t="str">
        <f t="shared" si="9"/>
        <v/>
      </c>
      <c r="V9" s="158" t="str">
        <f t="shared" si="10"/>
        <v/>
      </c>
      <c r="W9" s="310" t="str">
        <f t="shared" si="11"/>
        <v/>
      </c>
      <c r="X9" s="311" t="str">
        <f t="shared" si="12"/>
        <v/>
      </c>
      <c r="Y9" s="415" t="str">
        <f t="shared" si="13"/>
        <v/>
      </c>
      <c r="Z9" s="159" t="str">
        <f t="shared" si="14"/>
        <v/>
      </c>
      <c r="AA9" s="148"/>
      <c r="AB9" s="160">
        <f t="shared" si="16"/>
        <v>13</v>
      </c>
      <c r="AC9" s="155">
        <f t="shared" si="17"/>
        <v>17.333333333333332</v>
      </c>
      <c r="AD9" s="155">
        <f t="shared" si="18"/>
        <v>21.666666666666668</v>
      </c>
      <c r="AE9" s="155">
        <f t="shared" si="19"/>
        <v>26</v>
      </c>
      <c r="AF9" s="384">
        <f t="shared" si="20"/>
        <v>34.666666666666664</v>
      </c>
    </row>
    <row r="10" spans="1:32" ht="14" x14ac:dyDescent="0.2">
      <c r="A10" s="67"/>
      <c r="B10" s="92">
        <v>4</v>
      </c>
      <c r="C10" s="93"/>
      <c r="D10" s="94" t="str">
        <f t="shared" si="0"/>
        <v/>
      </c>
      <c r="E10" s="169" t="str">
        <f t="shared" si="1"/>
        <v/>
      </c>
      <c r="F10" s="95">
        <v>4</v>
      </c>
      <c r="G10" s="96"/>
      <c r="H10" s="93" t="str">
        <f t="shared" si="2"/>
        <v/>
      </c>
      <c r="I10" s="97" t="str">
        <f t="shared" si="15"/>
        <v/>
      </c>
      <c r="J10" s="95"/>
      <c r="K10" s="98" t="str">
        <f t="shared" si="3"/>
        <v/>
      </c>
      <c r="L10" s="96" t="str">
        <f t="shared" si="4"/>
        <v/>
      </c>
      <c r="M10" s="99" t="str">
        <f t="shared" si="5"/>
        <v/>
      </c>
      <c r="N10" s="100" t="str">
        <f t="shared" si="6"/>
        <v/>
      </c>
      <c r="O10" s="155">
        <f t="shared" ref="O10:O31" si="21">ROUND(IF($O$6="MAX=15",AB10,IF($O$6="MAX=20",AC10,IF($O$6="MAX=25",AD10,IF($O$6="MAX=30",AE10,IF($O$6="MAX=40",AF10))))),1)</f>
        <v>16</v>
      </c>
      <c r="P10" s="101"/>
      <c r="Q10" s="102"/>
      <c r="R10" s="140"/>
      <c r="S10" s="140"/>
      <c r="T10" s="156" t="str">
        <f t="shared" si="8"/>
        <v/>
      </c>
      <c r="U10" s="157" t="str">
        <f t="shared" si="9"/>
        <v/>
      </c>
      <c r="V10" s="158" t="str">
        <f t="shared" si="10"/>
        <v/>
      </c>
      <c r="W10" s="310" t="str">
        <f t="shared" si="11"/>
        <v/>
      </c>
      <c r="X10" s="311" t="str">
        <f t="shared" si="12"/>
        <v/>
      </c>
      <c r="Y10" s="415" t="str">
        <f t="shared" si="13"/>
        <v/>
      </c>
      <c r="Z10" s="159" t="str">
        <f t="shared" si="14"/>
        <v/>
      </c>
      <c r="AA10" s="148"/>
      <c r="AB10" s="160">
        <f t="shared" si="16"/>
        <v>12</v>
      </c>
      <c r="AC10" s="155">
        <f t="shared" si="17"/>
        <v>16</v>
      </c>
      <c r="AD10" s="155">
        <f t="shared" si="18"/>
        <v>20</v>
      </c>
      <c r="AE10" s="155">
        <f t="shared" si="19"/>
        <v>24</v>
      </c>
      <c r="AF10" s="384">
        <f t="shared" si="20"/>
        <v>32</v>
      </c>
    </row>
    <row r="11" spans="1:32" ht="14" x14ac:dyDescent="0.2">
      <c r="A11" s="67"/>
      <c r="B11" s="103">
        <v>5</v>
      </c>
      <c r="C11" s="104"/>
      <c r="D11" s="105" t="str">
        <f t="shared" si="0"/>
        <v/>
      </c>
      <c r="E11" s="170" t="str">
        <f t="shared" si="1"/>
        <v/>
      </c>
      <c r="F11" s="106">
        <v>5</v>
      </c>
      <c r="G11" s="107"/>
      <c r="H11" s="108" t="str">
        <f t="shared" si="2"/>
        <v/>
      </c>
      <c r="I11" s="109" t="str">
        <f t="shared" si="15"/>
        <v/>
      </c>
      <c r="J11" s="110"/>
      <c r="K11" s="111" t="str">
        <f t="shared" si="3"/>
        <v/>
      </c>
      <c r="L11" s="112" t="str">
        <f t="shared" si="4"/>
        <v/>
      </c>
      <c r="M11" s="113" t="str">
        <f t="shared" si="5"/>
        <v/>
      </c>
      <c r="N11" s="114" t="str">
        <f t="shared" si="6"/>
        <v/>
      </c>
      <c r="O11" s="389">
        <f t="shared" si="21"/>
        <v>14.7</v>
      </c>
      <c r="P11" s="166"/>
      <c r="Q11" s="116"/>
      <c r="R11" s="140"/>
      <c r="S11" s="140"/>
      <c r="T11" s="156" t="str">
        <f t="shared" si="8"/>
        <v/>
      </c>
      <c r="U11" s="157" t="str">
        <f t="shared" si="9"/>
        <v/>
      </c>
      <c r="V11" s="158" t="str">
        <f t="shared" si="10"/>
        <v/>
      </c>
      <c r="W11" s="310" t="str">
        <f t="shared" si="11"/>
        <v/>
      </c>
      <c r="X11" s="311" t="str">
        <f t="shared" si="12"/>
        <v/>
      </c>
      <c r="Y11" s="415" t="str">
        <f t="shared" si="13"/>
        <v/>
      </c>
      <c r="Z11" s="159" t="str">
        <f t="shared" si="14"/>
        <v/>
      </c>
      <c r="AA11" s="148"/>
      <c r="AB11" s="160">
        <f t="shared" si="16"/>
        <v>11</v>
      </c>
      <c r="AC11" s="155">
        <f t="shared" si="17"/>
        <v>14.666666666666666</v>
      </c>
      <c r="AD11" s="155">
        <f t="shared" si="18"/>
        <v>18.333333333333332</v>
      </c>
      <c r="AE11" s="155">
        <f t="shared" si="19"/>
        <v>22</v>
      </c>
      <c r="AF11" s="384">
        <f t="shared" si="20"/>
        <v>29.333333333333332</v>
      </c>
    </row>
    <row r="12" spans="1:32" ht="14" x14ac:dyDescent="0.2">
      <c r="A12" s="67"/>
      <c r="B12" s="82">
        <v>6</v>
      </c>
      <c r="C12" s="83"/>
      <c r="D12" s="134" t="str">
        <f t="shared" si="0"/>
        <v/>
      </c>
      <c r="E12" s="168" t="str">
        <f t="shared" si="1"/>
        <v/>
      </c>
      <c r="F12" s="85">
        <v>6</v>
      </c>
      <c r="G12" s="86"/>
      <c r="H12" s="83" t="str">
        <f t="shared" si="2"/>
        <v/>
      </c>
      <c r="I12" s="87" t="str">
        <f t="shared" si="15"/>
        <v/>
      </c>
      <c r="J12" s="85"/>
      <c r="K12" s="88" t="str">
        <f t="shared" si="3"/>
        <v/>
      </c>
      <c r="L12" s="86" t="str">
        <f t="shared" si="4"/>
        <v/>
      </c>
      <c r="M12" s="89" t="str">
        <f t="shared" si="5"/>
        <v/>
      </c>
      <c r="N12" s="90" t="str">
        <f t="shared" si="6"/>
        <v/>
      </c>
      <c r="O12" s="388">
        <f t="shared" si="21"/>
        <v>13.3</v>
      </c>
      <c r="P12" s="267"/>
      <c r="Q12" s="91"/>
      <c r="R12" s="140"/>
      <c r="S12" s="140"/>
      <c r="T12" s="156" t="str">
        <f t="shared" si="8"/>
        <v/>
      </c>
      <c r="U12" s="157" t="str">
        <f t="shared" si="9"/>
        <v/>
      </c>
      <c r="V12" s="158" t="str">
        <f t="shared" si="10"/>
        <v/>
      </c>
      <c r="W12" s="310" t="str">
        <f t="shared" si="11"/>
        <v/>
      </c>
      <c r="X12" s="311" t="str">
        <f t="shared" si="12"/>
        <v/>
      </c>
      <c r="Y12" s="415" t="str">
        <f t="shared" si="13"/>
        <v/>
      </c>
      <c r="Z12" s="159" t="str">
        <f t="shared" si="14"/>
        <v/>
      </c>
      <c r="AA12" s="148"/>
      <c r="AB12" s="160">
        <f t="shared" si="16"/>
        <v>10</v>
      </c>
      <c r="AC12" s="155">
        <f t="shared" si="17"/>
        <v>13.333333333333334</v>
      </c>
      <c r="AD12" s="155">
        <f t="shared" si="18"/>
        <v>16.666666666666668</v>
      </c>
      <c r="AE12" s="155">
        <f t="shared" si="19"/>
        <v>20</v>
      </c>
      <c r="AF12" s="384">
        <f t="shared" si="20"/>
        <v>26.666666666666668</v>
      </c>
    </row>
    <row r="13" spans="1:32" ht="14" x14ac:dyDescent="0.2">
      <c r="A13" s="67"/>
      <c r="B13" s="92">
        <v>7</v>
      </c>
      <c r="C13" s="93"/>
      <c r="D13" s="94" t="str">
        <f t="shared" si="0"/>
        <v/>
      </c>
      <c r="E13" s="169" t="str">
        <f t="shared" si="1"/>
        <v/>
      </c>
      <c r="F13" s="95">
        <v>7</v>
      </c>
      <c r="G13" s="96"/>
      <c r="H13" s="93" t="str">
        <f t="shared" si="2"/>
        <v/>
      </c>
      <c r="I13" s="97" t="str">
        <f t="shared" si="15"/>
        <v/>
      </c>
      <c r="J13" s="95"/>
      <c r="K13" s="98" t="str">
        <f t="shared" si="3"/>
        <v/>
      </c>
      <c r="L13" s="96" t="str">
        <f t="shared" si="4"/>
        <v/>
      </c>
      <c r="M13" s="99" t="str">
        <f t="shared" si="5"/>
        <v/>
      </c>
      <c r="N13" s="100" t="str">
        <f t="shared" si="6"/>
        <v/>
      </c>
      <c r="O13" s="339">
        <f t="shared" si="21"/>
        <v>12</v>
      </c>
      <c r="P13" s="268"/>
      <c r="Q13" s="102"/>
      <c r="R13" s="140"/>
      <c r="S13" s="140"/>
      <c r="T13" s="156" t="str">
        <f t="shared" si="8"/>
        <v/>
      </c>
      <c r="U13" s="157" t="str">
        <f t="shared" si="9"/>
        <v/>
      </c>
      <c r="V13" s="158" t="str">
        <f t="shared" si="10"/>
        <v/>
      </c>
      <c r="W13" s="310" t="str">
        <f t="shared" si="11"/>
        <v/>
      </c>
      <c r="X13" s="311" t="str">
        <f t="shared" si="12"/>
        <v/>
      </c>
      <c r="Y13" s="415" t="str">
        <f t="shared" si="13"/>
        <v/>
      </c>
      <c r="Z13" s="159" t="str">
        <f t="shared" si="14"/>
        <v/>
      </c>
      <c r="AA13" s="148"/>
      <c r="AB13" s="160">
        <f t="shared" si="16"/>
        <v>9</v>
      </c>
      <c r="AC13" s="155">
        <f t="shared" si="17"/>
        <v>12</v>
      </c>
      <c r="AD13" s="155">
        <f t="shared" si="18"/>
        <v>15</v>
      </c>
      <c r="AE13" s="155">
        <f t="shared" si="19"/>
        <v>18</v>
      </c>
      <c r="AF13" s="384">
        <f t="shared" si="20"/>
        <v>24</v>
      </c>
    </row>
    <row r="14" spans="1:32" ht="14" x14ac:dyDescent="0.2">
      <c r="A14" s="67"/>
      <c r="B14" s="92">
        <v>8</v>
      </c>
      <c r="C14" s="93"/>
      <c r="D14" s="94" t="str">
        <f t="shared" si="0"/>
        <v/>
      </c>
      <c r="E14" s="169" t="str">
        <f t="shared" si="1"/>
        <v/>
      </c>
      <c r="F14" s="95">
        <v>8</v>
      </c>
      <c r="G14" s="96"/>
      <c r="H14" s="93" t="str">
        <f t="shared" si="2"/>
        <v/>
      </c>
      <c r="I14" s="97" t="str">
        <f t="shared" si="15"/>
        <v/>
      </c>
      <c r="J14" s="95"/>
      <c r="K14" s="98" t="str">
        <f t="shared" si="3"/>
        <v/>
      </c>
      <c r="L14" s="96" t="str">
        <f t="shared" si="4"/>
        <v/>
      </c>
      <c r="M14" s="99" t="str">
        <f t="shared" si="5"/>
        <v/>
      </c>
      <c r="N14" s="100" t="str">
        <f t="shared" si="6"/>
        <v/>
      </c>
      <c r="O14" s="155">
        <f t="shared" si="21"/>
        <v>10.7</v>
      </c>
      <c r="P14" s="131"/>
      <c r="Q14" s="102"/>
      <c r="R14" s="140"/>
      <c r="S14" s="140"/>
      <c r="T14" s="156" t="str">
        <f t="shared" si="8"/>
        <v/>
      </c>
      <c r="U14" s="157" t="str">
        <f t="shared" si="9"/>
        <v/>
      </c>
      <c r="V14" s="158" t="str">
        <f t="shared" si="10"/>
        <v/>
      </c>
      <c r="W14" s="310" t="str">
        <f t="shared" si="11"/>
        <v/>
      </c>
      <c r="X14" s="311" t="str">
        <f t="shared" si="12"/>
        <v/>
      </c>
      <c r="Y14" s="415" t="str">
        <f t="shared" si="13"/>
        <v/>
      </c>
      <c r="Z14" s="159" t="str">
        <f t="shared" si="14"/>
        <v/>
      </c>
      <c r="AA14" s="148"/>
      <c r="AB14" s="160">
        <f t="shared" si="16"/>
        <v>8</v>
      </c>
      <c r="AC14" s="155">
        <f t="shared" si="17"/>
        <v>10.666666666666666</v>
      </c>
      <c r="AD14" s="155">
        <f t="shared" si="18"/>
        <v>13.333333333333334</v>
      </c>
      <c r="AE14" s="155">
        <f t="shared" si="19"/>
        <v>16</v>
      </c>
      <c r="AF14" s="384">
        <f t="shared" si="20"/>
        <v>21.333333333333332</v>
      </c>
    </row>
    <row r="15" spans="1:32" ht="14" x14ac:dyDescent="0.2">
      <c r="A15" s="67"/>
      <c r="B15" s="92">
        <v>9</v>
      </c>
      <c r="C15" s="93"/>
      <c r="D15" s="94" t="str">
        <f t="shared" si="0"/>
        <v/>
      </c>
      <c r="E15" s="169" t="str">
        <f t="shared" si="1"/>
        <v/>
      </c>
      <c r="F15" s="95">
        <v>9</v>
      </c>
      <c r="G15" s="96"/>
      <c r="H15" s="93" t="str">
        <f t="shared" si="2"/>
        <v/>
      </c>
      <c r="I15" s="97" t="str">
        <f t="shared" si="15"/>
        <v/>
      </c>
      <c r="J15" s="95"/>
      <c r="K15" s="98" t="str">
        <f t="shared" si="3"/>
        <v/>
      </c>
      <c r="L15" s="96" t="str">
        <f t="shared" si="4"/>
        <v/>
      </c>
      <c r="M15" s="99" t="str">
        <f t="shared" si="5"/>
        <v/>
      </c>
      <c r="N15" s="100" t="str">
        <f t="shared" si="6"/>
        <v/>
      </c>
      <c r="O15" s="155">
        <f t="shared" si="21"/>
        <v>9.3000000000000007</v>
      </c>
      <c r="P15" s="101"/>
      <c r="Q15" s="102"/>
      <c r="R15" s="140"/>
      <c r="S15" s="140"/>
      <c r="T15" s="156" t="str">
        <f t="shared" si="8"/>
        <v/>
      </c>
      <c r="U15" s="157" t="str">
        <f t="shared" si="9"/>
        <v/>
      </c>
      <c r="V15" s="158" t="str">
        <f t="shared" si="10"/>
        <v/>
      </c>
      <c r="W15" s="310" t="str">
        <f t="shared" si="11"/>
        <v/>
      </c>
      <c r="X15" s="311" t="str">
        <f t="shared" si="12"/>
        <v/>
      </c>
      <c r="Y15" s="415" t="str">
        <f t="shared" si="13"/>
        <v/>
      </c>
      <c r="Z15" s="159" t="str">
        <f t="shared" si="14"/>
        <v/>
      </c>
      <c r="AA15" s="148"/>
      <c r="AB15" s="160">
        <f t="shared" si="16"/>
        <v>7</v>
      </c>
      <c r="AC15" s="155">
        <f t="shared" si="17"/>
        <v>9.3333333333333339</v>
      </c>
      <c r="AD15" s="155">
        <f t="shared" si="18"/>
        <v>11.666666666666666</v>
      </c>
      <c r="AE15" s="155">
        <f t="shared" si="19"/>
        <v>14</v>
      </c>
      <c r="AF15" s="384">
        <f t="shared" si="20"/>
        <v>18.666666666666668</v>
      </c>
    </row>
    <row r="16" spans="1:32" ht="14" x14ac:dyDescent="0.2">
      <c r="A16" s="67"/>
      <c r="B16" s="103">
        <v>10</v>
      </c>
      <c r="C16" s="104"/>
      <c r="D16" s="105" t="str">
        <f t="shared" si="0"/>
        <v/>
      </c>
      <c r="E16" s="170" t="str">
        <f t="shared" si="1"/>
        <v/>
      </c>
      <c r="F16" s="106">
        <v>10</v>
      </c>
      <c r="G16" s="107"/>
      <c r="H16" s="104" t="str">
        <f t="shared" si="2"/>
        <v/>
      </c>
      <c r="I16" s="117" t="str">
        <f t="shared" si="15"/>
        <v/>
      </c>
      <c r="J16" s="106"/>
      <c r="K16" s="119" t="str">
        <f t="shared" si="3"/>
        <v/>
      </c>
      <c r="L16" s="107" t="str">
        <f t="shared" si="4"/>
        <v/>
      </c>
      <c r="M16" s="120" t="str">
        <f t="shared" si="5"/>
        <v/>
      </c>
      <c r="N16" s="121" t="str">
        <f t="shared" si="6"/>
        <v/>
      </c>
      <c r="O16" s="389">
        <f t="shared" si="21"/>
        <v>8</v>
      </c>
      <c r="P16" s="166"/>
      <c r="Q16" s="116"/>
      <c r="R16" s="140"/>
      <c r="S16" s="140"/>
      <c r="T16" s="156" t="str">
        <f t="shared" si="8"/>
        <v/>
      </c>
      <c r="U16" s="157" t="str">
        <f t="shared" si="9"/>
        <v/>
      </c>
      <c r="V16" s="158" t="str">
        <f t="shared" si="10"/>
        <v/>
      </c>
      <c r="W16" s="310" t="str">
        <f t="shared" si="11"/>
        <v/>
      </c>
      <c r="X16" s="311" t="str">
        <f t="shared" si="12"/>
        <v/>
      </c>
      <c r="Y16" s="415" t="str">
        <f t="shared" si="13"/>
        <v/>
      </c>
      <c r="Z16" s="159" t="str">
        <f t="shared" si="14"/>
        <v/>
      </c>
      <c r="AA16" s="148"/>
      <c r="AB16" s="160">
        <f t="shared" si="16"/>
        <v>6</v>
      </c>
      <c r="AC16" s="155">
        <f t="shared" si="17"/>
        <v>8</v>
      </c>
      <c r="AD16" s="155">
        <f t="shared" si="18"/>
        <v>10</v>
      </c>
      <c r="AE16" s="155">
        <f t="shared" si="19"/>
        <v>12</v>
      </c>
      <c r="AF16" s="384">
        <f t="shared" si="20"/>
        <v>16</v>
      </c>
    </row>
    <row r="17" spans="1:32" ht="14" x14ac:dyDescent="0.2">
      <c r="A17" s="67"/>
      <c r="B17" s="82">
        <v>11</v>
      </c>
      <c r="C17" s="83"/>
      <c r="D17" s="134" t="str">
        <f t="shared" si="0"/>
        <v/>
      </c>
      <c r="E17" s="168" t="str">
        <f t="shared" ref="E17:E26" si="22">IF($I$6="Ⅰ",T17,IF($I$6="Ⅱ",U17,IF($I$6="Ⅲ",V17,"")))</f>
        <v/>
      </c>
      <c r="F17" s="85">
        <v>11</v>
      </c>
      <c r="G17" s="86"/>
      <c r="H17" s="83" t="str">
        <f t="shared" ref="H17:H26" si="23">IFERROR(IF(G17-$Q$2&lt;=0,"",(G17-$Q$2)*86400),"")</f>
        <v/>
      </c>
      <c r="I17" s="87" t="str">
        <f t="shared" si="15"/>
        <v/>
      </c>
      <c r="J17" s="85"/>
      <c r="K17" s="88" t="str">
        <f t="shared" ref="K17:K26" si="24">IFERROR(H17*(1+0.01*J17)-I17*$N$3,"")</f>
        <v/>
      </c>
      <c r="L17" s="86" t="str">
        <f t="shared" ref="L17:L26" si="25">IFERROR((K17-$K$7)/86400,"")</f>
        <v/>
      </c>
      <c r="M17" s="89" t="str">
        <f t="shared" ref="M17:M26" si="26">IFERROR((K17-$K$7)/$N$3,"")</f>
        <v/>
      </c>
      <c r="N17" s="90" t="str">
        <f t="shared" ref="N17:N26" si="27">IFERROR($N$3/(H17/3600),"")</f>
        <v/>
      </c>
      <c r="O17" s="388">
        <f t="shared" si="21"/>
        <v>6.7</v>
      </c>
      <c r="P17" s="167"/>
      <c r="Q17" s="91"/>
      <c r="R17" s="140"/>
      <c r="S17" s="140"/>
      <c r="T17" s="156" t="str">
        <f t="shared" si="8"/>
        <v/>
      </c>
      <c r="U17" s="157" t="str">
        <f t="shared" si="9"/>
        <v/>
      </c>
      <c r="V17" s="158" t="str">
        <f t="shared" si="10"/>
        <v/>
      </c>
      <c r="W17" s="310" t="str">
        <f t="shared" si="11"/>
        <v/>
      </c>
      <c r="X17" s="311" t="str">
        <f t="shared" si="12"/>
        <v/>
      </c>
      <c r="Y17" s="415" t="str">
        <f t="shared" si="13"/>
        <v/>
      </c>
      <c r="Z17" s="159" t="str">
        <f t="shared" si="14"/>
        <v/>
      </c>
      <c r="AA17" s="148"/>
      <c r="AB17" s="160">
        <f t="shared" si="16"/>
        <v>5</v>
      </c>
      <c r="AC17" s="155">
        <f t="shared" si="17"/>
        <v>6.666666666666667</v>
      </c>
      <c r="AD17" s="155">
        <f t="shared" si="18"/>
        <v>8.3333333333333339</v>
      </c>
      <c r="AE17" s="155">
        <f t="shared" si="19"/>
        <v>10</v>
      </c>
      <c r="AF17" s="384">
        <f t="shared" si="20"/>
        <v>13.333333333333334</v>
      </c>
    </row>
    <row r="18" spans="1:32" ht="14" x14ac:dyDescent="0.2">
      <c r="A18" s="67"/>
      <c r="B18" s="92">
        <v>12</v>
      </c>
      <c r="C18" s="93"/>
      <c r="D18" s="94" t="str">
        <f t="shared" si="0"/>
        <v/>
      </c>
      <c r="E18" s="169" t="str">
        <f t="shared" si="22"/>
        <v/>
      </c>
      <c r="F18" s="95">
        <v>12</v>
      </c>
      <c r="G18" s="96"/>
      <c r="H18" s="93" t="str">
        <f t="shared" si="23"/>
        <v/>
      </c>
      <c r="I18" s="97" t="str">
        <f t="shared" si="15"/>
        <v/>
      </c>
      <c r="J18" s="95"/>
      <c r="K18" s="98" t="str">
        <f t="shared" si="24"/>
        <v/>
      </c>
      <c r="L18" s="96" t="str">
        <f t="shared" si="25"/>
        <v/>
      </c>
      <c r="M18" s="99" t="str">
        <f t="shared" si="26"/>
        <v/>
      </c>
      <c r="N18" s="100" t="str">
        <f t="shared" si="27"/>
        <v/>
      </c>
      <c r="O18" s="339">
        <f t="shared" si="21"/>
        <v>5.3</v>
      </c>
      <c r="P18" s="131"/>
      <c r="Q18" s="102"/>
      <c r="R18" s="140"/>
      <c r="S18" s="140"/>
      <c r="T18" s="156" t="str">
        <f t="shared" si="8"/>
        <v/>
      </c>
      <c r="U18" s="157" t="str">
        <f t="shared" si="9"/>
        <v/>
      </c>
      <c r="V18" s="158" t="str">
        <f t="shared" si="10"/>
        <v/>
      </c>
      <c r="W18" s="310" t="str">
        <f t="shared" si="11"/>
        <v/>
      </c>
      <c r="X18" s="311" t="str">
        <f t="shared" si="12"/>
        <v/>
      </c>
      <c r="Y18" s="415" t="str">
        <f t="shared" si="13"/>
        <v/>
      </c>
      <c r="Z18" s="159" t="str">
        <f t="shared" si="14"/>
        <v/>
      </c>
      <c r="AA18" s="148"/>
      <c r="AB18" s="160">
        <f t="shared" si="16"/>
        <v>4</v>
      </c>
      <c r="AC18" s="155">
        <f t="shared" si="17"/>
        <v>5.333333333333333</v>
      </c>
      <c r="AD18" s="155">
        <f t="shared" si="18"/>
        <v>6.666666666666667</v>
      </c>
      <c r="AE18" s="155">
        <f t="shared" si="19"/>
        <v>8</v>
      </c>
      <c r="AF18" s="384">
        <f t="shared" si="20"/>
        <v>10.666666666666666</v>
      </c>
    </row>
    <row r="19" spans="1:32" ht="14" x14ac:dyDescent="0.2">
      <c r="A19" s="67"/>
      <c r="B19" s="92">
        <v>13</v>
      </c>
      <c r="C19" s="93"/>
      <c r="D19" s="94" t="str">
        <f t="shared" si="0"/>
        <v/>
      </c>
      <c r="E19" s="169" t="str">
        <f t="shared" si="22"/>
        <v/>
      </c>
      <c r="F19" s="95">
        <v>13</v>
      </c>
      <c r="G19" s="96"/>
      <c r="H19" s="93" t="str">
        <f t="shared" si="23"/>
        <v/>
      </c>
      <c r="I19" s="97" t="str">
        <f t="shared" si="15"/>
        <v/>
      </c>
      <c r="J19" s="95"/>
      <c r="K19" s="98" t="str">
        <f t="shared" si="24"/>
        <v/>
      </c>
      <c r="L19" s="96" t="str">
        <f t="shared" si="25"/>
        <v/>
      </c>
      <c r="M19" s="99" t="str">
        <f t="shared" si="26"/>
        <v/>
      </c>
      <c r="N19" s="100" t="str">
        <f t="shared" si="27"/>
        <v/>
      </c>
      <c r="O19" s="155">
        <f t="shared" si="21"/>
        <v>4</v>
      </c>
      <c r="P19" s="131"/>
      <c r="Q19" s="102"/>
      <c r="R19" s="140"/>
      <c r="S19" s="140"/>
      <c r="T19" s="156" t="str">
        <f t="shared" si="8"/>
        <v/>
      </c>
      <c r="U19" s="157" t="str">
        <f t="shared" si="9"/>
        <v/>
      </c>
      <c r="V19" s="158" t="str">
        <f t="shared" si="10"/>
        <v/>
      </c>
      <c r="W19" s="310" t="str">
        <f t="shared" si="11"/>
        <v/>
      </c>
      <c r="X19" s="311" t="str">
        <f t="shared" si="12"/>
        <v/>
      </c>
      <c r="Y19" s="415" t="str">
        <f t="shared" si="13"/>
        <v/>
      </c>
      <c r="Z19" s="159" t="str">
        <f t="shared" si="14"/>
        <v/>
      </c>
      <c r="AA19" s="148"/>
      <c r="AB19" s="160">
        <f t="shared" si="16"/>
        <v>3</v>
      </c>
      <c r="AC19" s="155">
        <f t="shared" si="17"/>
        <v>4</v>
      </c>
      <c r="AD19" s="155">
        <f t="shared" si="18"/>
        <v>5</v>
      </c>
      <c r="AE19" s="155">
        <f t="shared" si="19"/>
        <v>6</v>
      </c>
      <c r="AF19" s="384">
        <f t="shared" si="20"/>
        <v>8</v>
      </c>
    </row>
    <row r="20" spans="1:32" ht="14" x14ac:dyDescent="0.2">
      <c r="A20" s="67"/>
      <c r="B20" s="92">
        <v>14</v>
      </c>
      <c r="C20" s="93"/>
      <c r="D20" s="94" t="str">
        <f t="shared" si="0"/>
        <v/>
      </c>
      <c r="E20" s="169" t="str">
        <f t="shared" si="22"/>
        <v/>
      </c>
      <c r="F20" s="95">
        <v>14</v>
      </c>
      <c r="G20" s="96"/>
      <c r="H20" s="93" t="str">
        <f t="shared" si="23"/>
        <v/>
      </c>
      <c r="I20" s="97" t="str">
        <f t="shared" si="15"/>
        <v/>
      </c>
      <c r="J20" s="95"/>
      <c r="K20" s="98" t="str">
        <f t="shared" si="24"/>
        <v/>
      </c>
      <c r="L20" s="96" t="str">
        <f t="shared" si="25"/>
        <v/>
      </c>
      <c r="M20" s="99" t="str">
        <f t="shared" si="26"/>
        <v/>
      </c>
      <c r="N20" s="100" t="str">
        <f t="shared" si="27"/>
        <v/>
      </c>
      <c r="O20" s="155">
        <f t="shared" si="21"/>
        <v>2.7</v>
      </c>
      <c r="P20" s="167"/>
      <c r="Q20" s="102"/>
      <c r="R20" s="140"/>
      <c r="S20" s="140"/>
      <c r="T20" s="156" t="str">
        <f t="shared" si="8"/>
        <v/>
      </c>
      <c r="U20" s="157" t="str">
        <f t="shared" si="9"/>
        <v/>
      </c>
      <c r="V20" s="158" t="str">
        <f t="shared" si="10"/>
        <v/>
      </c>
      <c r="W20" s="310" t="str">
        <f t="shared" si="11"/>
        <v/>
      </c>
      <c r="X20" s="311" t="str">
        <f t="shared" si="12"/>
        <v/>
      </c>
      <c r="Y20" s="415" t="str">
        <f t="shared" si="13"/>
        <v/>
      </c>
      <c r="Z20" s="159" t="str">
        <f t="shared" si="14"/>
        <v/>
      </c>
      <c r="AA20" s="148"/>
      <c r="AB20" s="160">
        <f t="shared" si="16"/>
        <v>2</v>
      </c>
      <c r="AC20" s="155">
        <f t="shared" si="17"/>
        <v>2.6666666666666665</v>
      </c>
      <c r="AD20" s="155">
        <f t="shared" si="18"/>
        <v>3.3333333333333335</v>
      </c>
      <c r="AE20" s="155">
        <f t="shared" si="19"/>
        <v>4</v>
      </c>
      <c r="AF20" s="384">
        <f t="shared" si="20"/>
        <v>5.333333333333333</v>
      </c>
    </row>
    <row r="21" spans="1:32" ht="14" x14ac:dyDescent="0.2">
      <c r="A21" s="67"/>
      <c r="B21" s="103">
        <v>15</v>
      </c>
      <c r="C21" s="104"/>
      <c r="D21" s="105" t="str">
        <f t="shared" si="0"/>
        <v/>
      </c>
      <c r="E21" s="170" t="str">
        <f t="shared" si="22"/>
        <v/>
      </c>
      <c r="F21" s="106">
        <v>15</v>
      </c>
      <c r="G21" s="107"/>
      <c r="H21" s="104" t="str">
        <f t="shared" si="23"/>
        <v/>
      </c>
      <c r="I21" s="117" t="str">
        <f t="shared" si="15"/>
        <v/>
      </c>
      <c r="J21" s="106"/>
      <c r="K21" s="119" t="str">
        <f t="shared" si="24"/>
        <v/>
      </c>
      <c r="L21" s="107" t="str">
        <f t="shared" si="25"/>
        <v/>
      </c>
      <c r="M21" s="120" t="str">
        <f t="shared" si="26"/>
        <v/>
      </c>
      <c r="N21" s="121" t="str">
        <f t="shared" si="27"/>
        <v/>
      </c>
      <c r="O21" s="389">
        <f t="shared" si="21"/>
        <v>1.3</v>
      </c>
      <c r="P21" s="166"/>
      <c r="Q21" s="116"/>
      <c r="R21" s="140"/>
      <c r="S21" s="140"/>
      <c r="T21" s="156" t="str">
        <f t="shared" si="8"/>
        <v/>
      </c>
      <c r="U21" s="157" t="str">
        <f t="shared" si="9"/>
        <v/>
      </c>
      <c r="V21" s="158" t="str">
        <f t="shared" si="10"/>
        <v/>
      </c>
      <c r="W21" s="310" t="str">
        <f t="shared" si="11"/>
        <v/>
      </c>
      <c r="X21" s="311" t="str">
        <f t="shared" si="12"/>
        <v/>
      </c>
      <c r="Y21" s="415" t="str">
        <f t="shared" si="13"/>
        <v/>
      </c>
      <c r="Z21" s="159" t="str">
        <f t="shared" si="14"/>
        <v/>
      </c>
      <c r="AA21" s="148"/>
      <c r="AB21" s="160">
        <f t="shared" si="16"/>
        <v>1</v>
      </c>
      <c r="AC21" s="155">
        <f t="shared" si="17"/>
        <v>1.3333333333333333</v>
      </c>
      <c r="AD21" s="155">
        <f t="shared" si="18"/>
        <v>1.6666666666666667</v>
      </c>
      <c r="AE21" s="155">
        <f t="shared" si="19"/>
        <v>2</v>
      </c>
      <c r="AF21" s="384">
        <f t="shared" si="20"/>
        <v>2.6666666666666665</v>
      </c>
    </row>
    <row r="22" spans="1:32" ht="14" x14ac:dyDescent="0.2">
      <c r="A22" s="67"/>
      <c r="B22" s="129"/>
      <c r="C22" s="83"/>
      <c r="D22" s="134" t="str">
        <f t="shared" si="0"/>
        <v/>
      </c>
      <c r="E22" s="168" t="str">
        <f t="shared" si="22"/>
        <v/>
      </c>
      <c r="F22" s="124"/>
      <c r="G22" s="86"/>
      <c r="H22" s="83" t="str">
        <f t="shared" si="23"/>
        <v/>
      </c>
      <c r="I22" s="87" t="str">
        <f t="shared" si="15"/>
        <v/>
      </c>
      <c r="J22" s="85"/>
      <c r="K22" s="88" t="str">
        <f t="shared" si="24"/>
        <v/>
      </c>
      <c r="L22" s="96" t="str">
        <f t="shared" si="25"/>
        <v/>
      </c>
      <c r="M22" s="89" t="str">
        <f t="shared" si="26"/>
        <v/>
      </c>
      <c r="N22" s="90" t="str">
        <f t="shared" si="27"/>
        <v/>
      </c>
      <c r="O22" s="155" t="e">
        <f t="shared" si="21"/>
        <v>#VALUE!</v>
      </c>
      <c r="P22" s="172"/>
      <c r="Q22" s="130"/>
      <c r="R22" s="140"/>
      <c r="S22" s="140"/>
      <c r="T22" s="156" t="str">
        <f t="shared" si="8"/>
        <v/>
      </c>
      <c r="U22" s="157" t="str">
        <f t="shared" si="9"/>
        <v/>
      </c>
      <c r="V22" s="158" t="str">
        <f t="shared" si="10"/>
        <v/>
      </c>
      <c r="W22" s="310" t="str">
        <f t="shared" si="11"/>
        <v/>
      </c>
      <c r="X22" s="311" t="str">
        <f t="shared" si="12"/>
        <v/>
      </c>
      <c r="Y22" s="415" t="str">
        <f t="shared" si="13"/>
        <v/>
      </c>
      <c r="Z22" s="159" t="str">
        <f t="shared" si="14"/>
        <v/>
      </c>
      <c r="AA22" s="148"/>
      <c r="AB22" s="160" t="str">
        <f t="shared" si="16"/>
        <v/>
      </c>
      <c r="AC22" s="155" t="str">
        <f t="shared" si="17"/>
        <v/>
      </c>
      <c r="AD22" s="155" t="str">
        <f t="shared" si="18"/>
        <v/>
      </c>
      <c r="AE22" s="155" t="str">
        <f t="shared" si="19"/>
        <v/>
      </c>
      <c r="AF22" s="384" t="str">
        <f t="shared" si="20"/>
        <v/>
      </c>
    </row>
    <row r="23" spans="1:32" ht="14" x14ac:dyDescent="0.2">
      <c r="A23" s="67"/>
      <c r="B23" s="92"/>
      <c r="C23" s="93"/>
      <c r="D23" s="94" t="str">
        <f t="shared" si="0"/>
        <v/>
      </c>
      <c r="E23" s="169" t="str">
        <f t="shared" si="22"/>
        <v/>
      </c>
      <c r="F23" s="95"/>
      <c r="G23" s="96"/>
      <c r="H23" s="93" t="str">
        <f t="shared" si="23"/>
        <v/>
      </c>
      <c r="I23" s="97" t="str">
        <f t="shared" si="15"/>
        <v/>
      </c>
      <c r="J23" s="95"/>
      <c r="K23" s="98" t="str">
        <f t="shared" si="24"/>
        <v/>
      </c>
      <c r="L23" s="126" t="str">
        <f t="shared" si="25"/>
        <v/>
      </c>
      <c r="M23" s="99" t="str">
        <f t="shared" si="26"/>
        <v/>
      </c>
      <c r="N23" s="100" t="str">
        <f t="shared" si="27"/>
        <v/>
      </c>
      <c r="O23" s="155" t="e">
        <f t="shared" si="21"/>
        <v>#VALUE!</v>
      </c>
      <c r="P23" s="131"/>
      <c r="Q23" s="102"/>
      <c r="R23" s="140"/>
      <c r="S23" s="140"/>
      <c r="T23" s="156" t="str">
        <f t="shared" si="8"/>
        <v/>
      </c>
      <c r="U23" s="157" t="str">
        <f t="shared" si="9"/>
        <v/>
      </c>
      <c r="V23" s="158" t="str">
        <f t="shared" si="10"/>
        <v/>
      </c>
      <c r="W23" s="310" t="str">
        <f t="shared" si="11"/>
        <v/>
      </c>
      <c r="X23" s="311" t="str">
        <f t="shared" si="12"/>
        <v/>
      </c>
      <c r="Y23" s="415" t="str">
        <f t="shared" si="13"/>
        <v/>
      </c>
      <c r="Z23" s="159" t="str">
        <f t="shared" si="14"/>
        <v/>
      </c>
      <c r="AA23" s="148"/>
      <c r="AB23" s="160" t="str">
        <f t="shared" si="16"/>
        <v/>
      </c>
      <c r="AC23" s="155" t="str">
        <f t="shared" si="17"/>
        <v/>
      </c>
      <c r="AD23" s="155" t="str">
        <f t="shared" si="18"/>
        <v/>
      </c>
      <c r="AE23" s="155" t="str">
        <f t="shared" si="19"/>
        <v/>
      </c>
      <c r="AF23" s="384" t="str">
        <f t="shared" si="20"/>
        <v/>
      </c>
    </row>
    <row r="24" spans="1:32" ht="14" x14ac:dyDescent="0.2">
      <c r="A24" s="67"/>
      <c r="B24" s="129"/>
      <c r="C24" s="93"/>
      <c r="D24" s="94" t="str">
        <f t="shared" si="0"/>
        <v/>
      </c>
      <c r="E24" s="169" t="str">
        <f t="shared" si="22"/>
        <v/>
      </c>
      <c r="F24" s="95"/>
      <c r="G24" s="96"/>
      <c r="H24" s="93" t="str">
        <f t="shared" si="23"/>
        <v/>
      </c>
      <c r="I24" s="97" t="str">
        <f t="shared" si="15"/>
        <v/>
      </c>
      <c r="J24" s="95"/>
      <c r="K24" s="98" t="str">
        <f t="shared" si="24"/>
        <v/>
      </c>
      <c r="L24" s="96" t="str">
        <f t="shared" si="25"/>
        <v/>
      </c>
      <c r="M24" s="99" t="str">
        <f t="shared" si="26"/>
        <v/>
      </c>
      <c r="N24" s="100" t="str">
        <f t="shared" si="27"/>
        <v/>
      </c>
      <c r="O24" s="155" t="e">
        <f t="shared" si="21"/>
        <v>#VALUE!</v>
      </c>
      <c r="P24" s="132"/>
      <c r="Q24" s="102"/>
      <c r="R24" s="140"/>
      <c r="S24" s="140"/>
      <c r="T24" s="156" t="str">
        <f t="shared" si="8"/>
        <v/>
      </c>
      <c r="U24" s="157" t="str">
        <f t="shared" si="9"/>
        <v/>
      </c>
      <c r="V24" s="158" t="str">
        <f t="shared" si="10"/>
        <v/>
      </c>
      <c r="W24" s="310" t="str">
        <f t="shared" si="11"/>
        <v/>
      </c>
      <c r="X24" s="311" t="str">
        <f t="shared" si="12"/>
        <v/>
      </c>
      <c r="Y24" s="415" t="str">
        <f t="shared" si="13"/>
        <v/>
      </c>
      <c r="Z24" s="159" t="str">
        <f t="shared" si="14"/>
        <v/>
      </c>
      <c r="AA24" s="148"/>
      <c r="AB24" s="160" t="str">
        <f t="shared" si="16"/>
        <v/>
      </c>
      <c r="AC24" s="155" t="str">
        <f t="shared" si="17"/>
        <v/>
      </c>
      <c r="AD24" s="155" t="str">
        <f t="shared" si="18"/>
        <v/>
      </c>
      <c r="AE24" s="155" t="str">
        <f t="shared" si="19"/>
        <v/>
      </c>
      <c r="AF24" s="384" t="str">
        <f t="shared" si="20"/>
        <v/>
      </c>
    </row>
    <row r="25" spans="1:32" ht="14" x14ac:dyDescent="0.2">
      <c r="A25" s="67"/>
      <c r="B25" s="92"/>
      <c r="C25" s="93"/>
      <c r="D25" s="94" t="str">
        <f t="shared" si="0"/>
        <v/>
      </c>
      <c r="E25" s="169" t="str">
        <f t="shared" si="22"/>
        <v/>
      </c>
      <c r="F25" s="95"/>
      <c r="G25" s="96"/>
      <c r="H25" s="93" t="str">
        <f t="shared" si="23"/>
        <v/>
      </c>
      <c r="I25" s="97" t="str">
        <f t="shared" si="15"/>
        <v/>
      </c>
      <c r="J25" s="95"/>
      <c r="K25" s="98" t="str">
        <f t="shared" si="24"/>
        <v/>
      </c>
      <c r="L25" s="96" t="str">
        <f t="shared" si="25"/>
        <v/>
      </c>
      <c r="M25" s="99" t="str">
        <f t="shared" si="26"/>
        <v/>
      </c>
      <c r="N25" s="100" t="str">
        <f t="shared" si="27"/>
        <v/>
      </c>
      <c r="O25" s="155" t="e">
        <f t="shared" si="21"/>
        <v>#VALUE!</v>
      </c>
      <c r="P25" s="132"/>
      <c r="Q25" s="102"/>
      <c r="R25" s="140"/>
      <c r="S25" s="140"/>
      <c r="T25" s="156" t="str">
        <f t="shared" si="8"/>
        <v/>
      </c>
      <c r="U25" s="157" t="str">
        <f t="shared" si="9"/>
        <v/>
      </c>
      <c r="V25" s="158" t="str">
        <f t="shared" si="10"/>
        <v/>
      </c>
      <c r="W25" s="310" t="str">
        <f t="shared" si="11"/>
        <v/>
      </c>
      <c r="X25" s="311" t="str">
        <f t="shared" si="12"/>
        <v/>
      </c>
      <c r="Y25" s="415" t="str">
        <f t="shared" si="13"/>
        <v/>
      </c>
      <c r="Z25" s="159" t="str">
        <f t="shared" si="14"/>
        <v/>
      </c>
      <c r="AA25" s="148"/>
      <c r="AB25" s="160" t="str">
        <f t="shared" si="16"/>
        <v/>
      </c>
      <c r="AC25" s="155" t="str">
        <f t="shared" si="17"/>
        <v/>
      </c>
      <c r="AD25" s="155" t="str">
        <f t="shared" si="18"/>
        <v/>
      </c>
      <c r="AE25" s="155" t="str">
        <f t="shared" si="19"/>
        <v/>
      </c>
      <c r="AF25" s="384" t="str">
        <f t="shared" si="20"/>
        <v/>
      </c>
    </row>
    <row r="26" spans="1:32" ht="14" x14ac:dyDescent="0.2">
      <c r="A26" s="67"/>
      <c r="B26" s="103"/>
      <c r="C26" s="104"/>
      <c r="D26" s="105" t="str">
        <f t="shared" si="0"/>
        <v/>
      </c>
      <c r="E26" s="170" t="str">
        <f t="shared" si="22"/>
        <v/>
      </c>
      <c r="F26" s="106"/>
      <c r="G26" s="107"/>
      <c r="H26" s="104" t="str">
        <f t="shared" si="23"/>
        <v/>
      </c>
      <c r="I26" s="117" t="str">
        <f t="shared" si="15"/>
        <v/>
      </c>
      <c r="J26" s="106"/>
      <c r="K26" s="119" t="str">
        <f t="shared" si="24"/>
        <v/>
      </c>
      <c r="L26" s="107" t="str">
        <f t="shared" si="25"/>
        <v/>
      </c>
      <c r="M26" s="120" t="str">
        <f t="shared" si="26"/>
        <v/>
      </c>
      <c r="N26" s="121" t="str">
        <f t="shared" si="27"/>
        <v/>
      </c>
      <c r="O26" s="155" t="e">
        <f t="shared" si="21"/>
        <v>#VALUE!</v>
      </c>
      <c r="P26" s="133"/>
      <c r="Q26" s="116"/>
      <c r="R26" s="140"/>
      <c r="S26" s="140"/>
      <c r="T26" s="156" t="str">
        <f t="shared" si="8"/>
        <v/>
      </c>
      <c r="U26" s="157" t="str">
        <f t="shared" si="9"/>
        <v/>
      </c>
      <c r="V26" s="158" t="str">
        <f t="shared" si="10"/>
        <v/>
      </c>
      <c r="W26" s="310" t="str">
        <f t="shared" si="11"/>
        <v/>
      </c>
      <c r="X26" s="311" t="str">
        <f t="shared" si="12"/>
        <v/>
      </c>
      <c r="Y26" s="415" t="str">
        <f t="shared" si="13"/>
        <v/>
      </c>
      <c r="Z26" s="159" t="str">
        <f t="shared" si="14"/>
        <v/>
      </c>
      <c r="AA26" s="148"/>
      <c r="AB26" s="160" t="str">
        <f t="shared" si="16"/>
        <v/>
      </c>
      <c r="AC26" s="155" t="str">
        <f t="shared" si="17"/>
        <v/>
      </c>
      <c r="AD26" s="155" t="str">
        <f t="shared" si="18"/>
        <v/>
      </c>
      <c r="AE26" s="155" t="str">
        <f t="shared" si="19"/>
        <v/>
      </c>
      <c r="AF26" s="384" t="str">
        <f t="shared" si="20"/>
        <v/>
      </c>
    </row>
    <row r="27" spans="1:32" ht="14" x14ac:dyDescent="0.2">
      <c r="A27" s="67"/>
      <c r="B27" s="129"/>
      <c r="C27" s="122"/>
      <c r="D27" s="134" t="str">
        <f t="shared" si="0"/>
        <v/>
      </c>
      <c r="E27" s="124"/>
      <c r="F27" s="124"/>
      <c r="G27" s="126"/>
      <c r="H27" s="83" t="str">
        <f>IFERROR(IF(G27-$Q$2&lt;=0,"",(G27-$Q$2)*86400),"")</f>
        <v/>
      </c>
      <c r="I27" s="87" t="str">
        <f t="shared" si="15"/>
        <v/>
      </c>
      <c r="J27" s="85"/>
      <c r="K27" s="88" t="str">
        <f>IFERROR(H27*(1+0.01*J27)-I27*$N$3,"")</f>
        <v/>
      </c>
      <c r="L27" s="86" t="str">
        <f>IFERROR((K27-$K$7)/86400,"")</f>
        <v/>
      </c>
      <c r="M27" s="89" t="str">
        <f>IFERROR((K27-$K$7)/$N$3,"")</f>
        <v/>
      </c>
      <c r="N27" s="90" t="str">
        <f>IFERROR($N$3/(H27/3600),"")</f>
        <v/>
      </c>
      <c r="O27" s="155" t="e">
        <f t="shared" si="21"/>
        <v>#VALUE!</v>
      </c>
      <c r="P27" s="135"/>
      <c r="Q27" s="130"/>
      <c r="R27" s="140"/>
      <c r="S27" s="140"/>
      <c r="T27" s="156" t="str">
        <f t="shared" si="8"/>
        <v/>
      </c>
      <c r="U27" s="157" t="str">
        <f t="shared" si="9"/>
        <v/>
      </c>
      <c r="V27" s="158" t="str">
        <f t="shared" si="10"/>
        <v/>
      </c>
      <c r="W27" s="310" t="str">
        <f t="shared" si="11"/>
        <v/>
      </c>
      <c r="X27" s="311" t="str">
        <f t="shared" si="12"/>
        <v/>
      </c>
      <c r="Y27" s="415" t="str">
        <f t="shared" si="13"/>
        <v/>
      </c>
      <c r="Z27" s="159" t="str">
        <f t="shared" si="14"/>
        <v/>
      </c>
      <c r="AA27" s="148"/>
      <c r="AB27" s="160" t="str">
        <f t="shared" si="16"/>
        <v/>
      </c>
      <c r="AC27" s="155" t="str">
        <f t="shared" si="17"/>
        <v/>
      </c>
      <c r="AD27" s="155" t="str">
        <f t="shared" si="18"/>
        <v/>
      </c>
      <c r="AE27" s="380" t="str">
        <f t="shared" ref="AE27:AE31" si="28">IF(ISBLANK(C27),"",IFERROR(30*($P$3-$B27)/($P$3-1)+10,"30.0"))</f>
        <v/>
      </c>
      <c r="AF27" s="384" t="str">
        <f t="shared" si="20"/>
        <v/>
      </c>
    </row>
    <row r="28" spans="1:32" ht="14.25" customHeight="1" x14ac:dyDescent="0.2">
      <c r="A28" s="67"/>
      <c r="B28" s="92"/>
      <c r="C28" s="93"/>
      <c r="D28" s="94" t="str">
        <f t="shared" si="0"/>
        <v/>
      </c>
      <c r="E28" s="95"/>
      <c r="F28" s="95"/>
      <c r="G28" s="96"/>
      <c r="H28" s="93"/>
      <c r="I28" s="97" t="str">
        <f t="shared" si="15"/>
        <v/>
      </c>
      <c r="J28" s="95"/>
      <c r="K28" s="98"/>
      <c r="L28" s="96"/>
      <c r="M28" s="99"/>
      <c r="N28" s="100"/>
      <c r="O28" s="155" t="e">
        <f t="shared" si="21"/>
        <v>#VALUE!</v>
      </c>
      <c r="P28" s="136"/>
      <c r="Q28" s="102"/>
      <c r="R28" s="140"/>
      <c r="S28" s="140"/>
      <c r="T28" s="156" t="str">
        <f t="shared" si="8"/>
        <v/>
      </c>
      <c r="U28" s="157" t="str">
        <f t="shared" si="9"/>
        <v/>
      </c>
      <c r="V28" s="158" t="str">
        <f t="shared" si="10"/>
        <v/>
      </c>
      <c r="W28" s="310" t="str">
        <f t="shared" si="11"/>
        <v/>
      </c>
      <c r="X28" s="311" t="str">
        <f t="shared" si="12"/>
        <v/>
      </c>
      <c r="Y28" s="415" t="str">
        <f t="shared" si="13"/>
        <v/>
      </c>
      <c r="Z28" s="159" t="str">
        <f t="shared" si="14"/>
        <v/>
      </c>
      <c r="AA28" s="148"/>
      <c r="AB28" s="160" t="str">
        <f t="shared" si="16"/>
        <v/>
      </c>
      <c r="AC28" s="155" t="str">
        <f t="shared" si="17"/>
        <v/>
      </c>
      <c r="AD28" s="155" t="str">
        <f t="shared" si="18"/>
        <v/>
      </c>
      <c r="AE28" s="380" t="str">
        <f t="shared" si="28"/>
        <v/>
      </c>
      <c r="AF28" s="384" t="str">
        <f t="shared" si="20"/>
        <v/>
      </c>
    </row>
    <row r="29" spans="1:32" ht="14" x14ac:dyDescent="0.2">
      <c r="A29" s="67"/>
      <c r="B29" s="92"/>
      <c r="C29" s="93"/>
      <c r="D29" s="94" t="str">
        <f t="shared" si="0"/>
        <v/>
      </c>
      <c r="E29" s="95"/>
      <c r="F29" s="95"/>
      <c r="G29" s="96"/>
      <c r="H29" s="93"/>
      <c r="I29" s="97" t="str">
        <f t="shared" si="15"/>
        <v/>
      </c>
      <c r="J29" s="95"/>
      <c r="K29" s="98"/>
      <c r="L29" s="96"/>
      <c r="M29" s="99"/>
      <c r="N29" s="100"/>
      <c r="O29" s="155" t="e">
        <f t="shared" si="21"/>
        <v>#VALUE!</v>
      </c>
      <c r="P29" s="132"/>
      <c r="Q29" s="102"/>
      <c r="R29" s="140"/>
      <c r="S29" s="140"/>
      <c r="T29" s="156" t="str">
        <f t="shared" si="8"/>
        <v/>
      </c>
      <c r="U29" s="157" t="str">
        <f t="shared" si="9"/>
        <v/>
      </c>
      <c r="V29" s="158" t="str">
        <f t="shared" si="10"/>
        <v/>
      </c>
      <c r="W29" s="310" t="str">
        <f t="shared" si="11"/>
        <v/>
      </c>
      <c r="X29" s="311" t="str">
        <f t="shared" si="12"/>
        <v/>
      </c>
      <c r="Y29" s="415" t="str">
        <f t="shared" si="13"/>
        <v/>
      </c>
      <c r="Z29" s="159" t="str">
        <f t="shared" si="14"/>
        <v/>
      </c>
      <c r="AA29" s="148"/>
      <c r="AB29" s="160" t="str">
        <f t="shared" si="16"/>
        <v/>
      </c>
      <c r="AC29" s="155" t="str">
        <f t="shared" si="17"/>
        <v/>
      </c>
      <c r="AD29" s="155" t="str">
        <f t="shared" si="18"/>
        <v/>
      </c>
      <c r="AE29" s="380" t="str">
        <f t="shared" si="28"/>
        <v/>
      </c>
      <c r="AF29" s="384" t="str">
        <f t="shared" si="20"/>
        <v/>
      </c>
    </row>
    <row r="30" spans="1:32" ht="14.25" customHeight="1" x14ac:dyDescent="0.2">
      <c r="A30" s="67"/>
      <c r="B30" s="92"/>
      <c r="C30" s="93"/>
      <c r="D30" s="94" t="str">
        <f t="shared" si="0"/>
        <v/>
      </c>
      <c r="E30" s="95"/>
      <c r="F30" s="95"/>
      <c r="G30" s="96"/>
      <c r="H30" s="93"/>
      <c r="I30" s="97" t="str">
        <f t="shared" si="15"/>
        <v/>
      </c>
      <c r="J30" s="95"/>
      <c r="K30" s="98"/>
      <c r="L30" s="96"/>
      <c r="M30" s="99"/>
      <c r="N30" s="100"/>
      <c r="O30" s="155" t="e">
        <f t="shared" si="21"/>
        <v>#VALUE!</v>
      </c>
      <c r="P30" s="132"/>
      <c r="Q30" s="102"/>
      <c r="R30" s="140"/>
      <c r="S30" s="140"/>
      <c r="T30" s="156" t="str">
        <f t="shared" si="8"/>
        <v/>
      </c>
      <c r="U30" s="157" t="str">
        <f t="shared" si="9"/>
        <v/>
      </c>
      <c r="V30" s="158" t="str">
        <f t="shared" si="10"/>
        <v/>
      </c>
      <c r="W30" s="310" t="str">
        <f t="shared" si="11"/>
        <v/>
      </c>
      <c r="X30" s="311" t="str">
        <f t="shared" si="12"/>
        <v/>
      </c>
      <c r="Y30" s="415" t="str">
        <f t="shared" si="13"/>
        <v/>
      </c>
      <c r="Z30" s="159" t="str">
        <f t="shared" si="14"/>
        <v/>
      </c>
      <c r="AA30" s="148"/>
      <c r="AB30" s="160" t="str">
        <f t="shared" si="16"/>
        <v/>
      </c>
      <c r="AC30" s="155" t="str">
        <f t="shared" si="17"/>
        <v/>
      </c>
      <c r="AD30" s="155" t="str">
        <f t="shared" si="18"/>
        <v/>
      </c>
      <c r="AE30" s="380" t="str">
        <f t="shared" si="28"/>
        <v/>
      </c>
      <c r="AF30" s="384" t="str">
        <f t="shared" si="20"/>
        <v/>
      </c>
    </row>
    <row r="31" spans="1:32" ht="14.5" thickBot="1" x14ac:dyDescent="0.25">
      <c r="A31" s="67"/>
      <c r="B31" s="92"/>
      <c r="C31" s="93"/>
      <c r="D31" s="105" t="str">
        <f t="shared" si="0"/>
        <v/>
      </c>
      <c r="E31" s="106"/>
      <c r="F31" s="95"/>
      <c r="G31" s="96"/>
      <c r="H31" s="104" t="str">
        <f>IFERROR(IF(G31-$Q$2&lt;=0,"",(G31-$Q$2)*86400),"")</f>
        <v/>
      </c>
      <c r="I31" s="117" t="str">
        <f t="shared" si="15"/>
        <v/>
      </c>
      <c r="J31" s="106"/>
      <c r="K31" s="119" t="str">
        <f>IFERROR(H31*(1+0.01*J31)-I31*$N$3,"")</f>
        <v/>
      </c>
      <c r="L31" s="107" t="str">
        <f>IFERROR((K31-$K$7)/86400,"")</f>
        <v/>
      </c>
      <c r="M31" s="120" t="str">
        <f>IFERROR((K31-$K$7)/$N$3,"")</f>
        <v/>
      </c>
      <c r="N31" s="121" t="str">
        <f>IFERROR($N$3/(H31/3600),"")</f>
        <v/>
      </c>
      <c r="O31" s="155" t="e">
        <f t="shared" si="21"/>
        <v>#VALUE!</v>
      </c>
      <c r="P31" s="133"/>
      <c r="Q31" s="116"/>
      <c r="R31" s="140"/>
      <c r="S31" s="140"/>
      <c r="T31" s="161" t="str">
        <f t="shared" si="8"/>
        <v/>
      </c>
      <c r="U31" s="162" t="str">
        <f t="shared" si="9"/>
        <v/>
      </c>
      <c r="V31" s="163" t="str">
        <f t="shared" si="10"/>
        <v/>
      </c>
      <c r="W31" s="312" t="str">
        <f t="shared" si="11"/>
        <v/>
      </c>
      <c r="X31" s="313" t="str">
        <f t="shared" si="12"/>
        <v/>
      </c>
      <c r="Y31" s="416" t="str">
        <f t="shared" si="13"/>
        <v/>
      </c>
      <c r="Z31" s="314" t="str">
        <f t="shared" si="14"/>
        <v/>
      </c>
      <c r="AA31" s="148"/>
      <c r="AB31" s="385" t="str">
        <f t="shared" ref="AB31" si="29">IF(ISBLANK(B31),"",IFERROR(15*($P$3+1-$B31)/$P$3,"15.0"))</f>
        <v/>
      </c>
      <c r="AC31" s="386" t="str">
        <f t="shared" ref="AC31" si="30">IF(ISBLANK(B31),"",IFERROR(20*($P$3+1-$B31)/$P$3,"20.0"))</f>
        <v/>
      </c>
      <c r="AD31" s="386" t="str">
        <f t="shared" ref="AD31" si="31">IF(ISBLANK(B31),"",IFERROR(25*($P$3+1-$B31)/$P$3,"25.0"))</f>
        <v/>
      </c>
      <c r="AE31" s="381" t="str">
        <f t="shared" si="28"/>
        <v/>
      </c>
      <c r="AF31" s="387" t="str">
        <f t="shared" si="20"/>
        <v/>
      </c>
    </row>
    <row r="32" spans="1:32" ht="15" customHeight="1" x14ac:dyDescent="0.25">
      <c r="A32" s="67"/>
      <c r="B32" s="568" t="s">
        <v>176</v>
      </c>
      <c r="C32" s="569"/>
      <c r="D32" s="570"/>
      <c r="E32" s="137" t="s">
        <v>137</v>
      </c>
      <c r="F32" s="602" t="s">
        <v>201</v>
      </c>
      <c r="G32" s="559"/>
      <c r="H32" s="579" t="s">
        <v>225</v>
      </c>
      <c r="I32" s="580"/>
      <c r="J32" s="580"/>
      <c r="K32" s="580"/>
      <c r="L32" s="580"/>
      <c r="M32" s="580"/>
      <c r="N32" s="580"/>
      <c r="O32" s="580"/>
      <c r="P32" s="580"/>
      <c r="Q32" s="581"/>
      <c r="R32" s="262"/>
      <c r="S32" s="59"/>
      <c r="T32" s="143"/>
      <c r="U32" s="143"/>
      <c r="V32" s="143"/>
      <c r="Y32" s="143"/>
      <c r="Z32" s="143"/>
      <c r="AA32" s="143"/>
    </row>
    <row r="33" spans="1:32" ht="15" customHeight="1" x14ac:dyDescent="0.25">
      <c r="A33" s="67"/>
      <c r="B33" s="571"/>
      <c r="C33" s="572"/>
      <c r="D33" s="573"/>
      <c r="E33" s="138" t="s">
        <v>138</v>
      </c>
      <c r="F33" s="560"/>
      <c r="G33" s="561"/>
      <c r="H33" s="582"/>
      <c r="I33" s="583"/>
      <c r="J33" s="583"/>
      <c r="K33" s="583"/>
      <c r="L33" s="583"/>
      <c r="M33" s="583"/>
      <c r="N33" s="583"/>
      <c r="O33" s="583"/>
      <c r="P33" s="583"/>
      <c r="Q33" s="584"/>
      <c r="R33" s="262"/>
      <c r="S33" s="59"/>
      <c r="T33" s="143"/>
      <c r="U33" s="143"/>
      <c r="V33" s="143"/>
      <c r="Y33" s="143"/>
      <c r="Z33" s="143"/>
      <c r="AA33" s="143"/>
      <c r="AB33" s="454" t="s">
        <v>270</v>
      </c>
      <c r="AC33" s="454"/>
      <c r="AD33" s="454"/>
      <c r="AE33" s="454"/>
      <c r="AF33" s="454"/>
    </row>
    <row r="34" spans="1:32" ht="23.25" customHeight="1" x14ac:dyDescent="0.25">
      <c r="A34" s="67"/>
      <c r="B34" s="574"/>
      <c r="C34" s="575"/>
      <c r="D34" s="576"/>
      <c r="E34" s="138" t="s">
        <v>139</v>
      </c>
      <c r="F34" s="560"/>
      <c r="G34" s="561"/>
      <c r="H34" s="582"/>
      <c r="I34" s="583"/>
      <c r="J34" s="583"/>
      <c r="K34" s="583"/>
      <c r="L34" s="583"/>
      <c r="M34" s="583"/>
      <c r="N34" s="583"/>
      <c r="O34" s="583"/>
      <c r="P34" s="583"/>
      <c r="Q34" s="584"/>
      <c r="R34" s="262"/>
      <c r="S34" s="59"/>
      <c r="T34" s="143"/>
      <c r="U34" s="143"/>
      <c r="V34" s="143"/>
      <c r="Y34" s="143"/>
      <c r="Z34" s="143"/>
      <c r="AA34" s="143"/>
    </row>
    <row r="35" spans="1:32" ht="22.5" customHeight="1" x14ac:dyDescent="0.25">
      <c r="A35" s="67"/>
      <c r="B35" s="590" t="s">
        <v>177</v>
      </c>
      <c r="C35" s="591"/>
      <c r="D35" s="592"/>
      <c r="E35" s="562" t="s">
        <v>141</v>
      </c>
      <c r="F35" s="560" t="str">
        <f>参照ﾃﾞｰﾀ!AB5</f>
        <v>はやとり</v>
      </c>
      <c r="G35" s="561"/>
      <c r="H35" s="582"/>
      <c r="I35" s="583"/>
      <c r="J35" s="583"/>
      <c r="K35" s="583"/>
      <c r="L35" s="583"/>
      <c r="M35" s="583"/>
      <c r="N35" s="583"/>
      <c r="O35" s="583"/>
      <c r="P35" s="583"/>
      <c r="Q35" s="584"/>
      <c r="R35" s="262"/>
      <c r="S35" s="59"/>
      <c r="T35" s="143"/>
      <c r="U35" s="143"/>
      <c r="V35" s="143"/>
      <c r="Y35" s="143"/>
      <c r="Z35" s="143"/>
      <c r="AA35" s="143"/>
    </row>
    <row r="36" spans="1:32" ht="15" customHeight="1" x14ac:dyDescent="0.25">
      <c r="A36" s="67"/>
      <c r="B36" s="593"/>
      <c r="C36" s="594"/>
      <c r="D36" s="595"/>
      <c r="E36" s="601"/>
      <c r="F36" s="560"/>
      <c r="G36" s="561"/>
      <c r="H36" s="582"/>
      <c r="I36" s="583"/>
      <c r="J36" s="583"/>
      <c r="K36" s="583"/>
      <c r="L36" s="583"/>
      <c r="M36" s="583"/>
      <c r="N36" s="583"/>
      <c r="O36" s="583"/>
      <c r="P36" s="583"/>
      <c r="Q36" s="584"/>
      <c r="R36" s="262"/>
      <c r="S36" s="59"/>
      <c r="T36" s="143"/>
      <c r="U36" s="143"/>
      <c r="V36" s="143"/>
      <c r="Y36" s="143"/>
      <c r="Z36" s="143"/>
      <c r="AA36" s="143"/>
    </row>
    <row r="37" spans="1:32" ht="15" customHeight="1" x14ac:dyDescent="0.25">
      <c r="A37" s="67"/>
      <c r="B37" s="593"/>
      <c r="C37" s="594"/>
      <c r="D37" s="595"/>
      <c r="E37" s="137" t="s">
        <v>140</v>
      </c>
      <c r="F37" s="558">
        <f>参照ﾃﾞｰﾀ!J6</f>
        <v>46096</v>
      </c>
      <c r="G37" s="559"/>
      <c r="H37" s="582"/>
      <c r="I37" s="583"/>
      <c r="J37" s="583"/>
      <c r="K37" s="583"/>
      <c r="L37" s="583"/>
      <c r="M37" s="583"/>
      <c r="N37" s="583"/>
      <c r="O37" s="583"/>
      <c r="P37" s="583"/>
      <c r="Q37" s="584"/>
      <c r="R37" s="262"/>
      <c r="S37" s="59"/>
      <c r="T37" s="143"/>
      <c r="U37" s="143"/>
      <c r="V37" s="143"/>
      <c r="Y37" s="143"/>
      <c r="Z37" s="143"/>
      <c r="AA37" s="143"/>
    </row>
    <row r="38" spans="1:32" ht="15" customHeight="1" x14ac:dyDescent="0.25">
      <c r="A38" s="67"/>
      <c r="B38" s="593"/>
      <c r="C38" s="594"/>
      <c r="D38" s="595"/>
      <c r="E38" s="138" t="s">
        <v>153</v>
      </c>
      <c r="F38" s="560" t="str">
        <f>参照ﾃﾞｰﾀ!AA6</f>
        <v>F</v>
      </c>
      <c r="G38" s="561"/>
      <c r="H38" s="582"/>
      <c r="I38" s="583"/>
      <c r="J38" s="583"/>
      <c r="K38" s="583"/>
      <c r="L38" s="583"/>
      <c r="M38" s="583"/>
      <c r="N38" s="583"/>
      <c r="O38" s="583"/>
      <c r="P38" s="583"/>
      <c r="Q38" s="584"/>
      <c r="R38" s="262"/>
      <c r="S38" s="59"/>
      <c r="T38" s="143"/>
      <c r="U38" s="143"/>
      <c r="V38" s="143"/>
      <c r="Y38" s="143"/>
      <c r="Z38" s="143"/>
      <c r="AA38" s="143"/>
    </row>
    <row r="39" spans="1:32" ht="15" customHeight="1" x14ac:dyDescent="0.25">
      <c r="A39" s="67"/>
      <c r="B39" s="593"/>
      <c r="C39" s="594"/>
      <c r="D39" s="595"/>
      <c r="E39" s="562" t="s">
        <v>141</v>
      </c>
      <c r="F39" s="560" t="str">
        <f>参照ﾃﾞｰﾀ!AB6</f>
        <v>ふるたか</v>
      </c>
      <c r="G39" s="561"/>
      <c r="H39" s="582"/>
      <c r="I39" s="583"/>
      <c r="J39" s="583"/>
      <c r="K39" s="583"/>
      <c r="L39" s="583"/>
      <c r="M39" s="583"/>
      <c r="N39" s="583"/>
      <c r="O39" s="583"/>
      <c r="P39" s="583"/>
      <c r="Q39" s="584"/>
      <c r="R39" s="262"/>
      <c r="S39" s="59"/>
      <c r="T39" s="143"/>
      <c r="U39" s="143"/>
      <c r="V39" s="143"/>
      <c r="Y39" s="143"/>
      <c r="Z39" s="143"/>
      <c r="AA39" s="143"/>
    </row>
    <row r="40" spans="1:32" ht="15" customHeight="1" x14ac:dyDescent="0.25">
      <c r="A40" s="67"/>
      <c r="B40" s="593"/>
      <c r="C40" s="594"/>
      <c r="D40" s="595"/>
      <c r="E40" s="562"/>
      <c r="F40" s="560"/>
      <c r="G40" s="561"/>
      <c r="H40" s="582"/>
      <c r="I40" s="583"/>
      <c r="J40" s="583"/>
      <c r="K40" s="583"/>
      <c r="L40" s="583"/>
      <c r="M40" s="583"/>
      <c r="N40" s="583"/>
      <c r="O40" s="583"/>
      <c r="P40" s="583"/>
      <c r="Q40" s="584"/>
      <c r="R40" s="262"/>
      <c r="S40" s="59"/>
      <c r="T40" s="143"/>
      <c r="U40" s="143"/>
      <c r="V40" s="143"/>
      <c r="Y40" s="143"/>
      <c r="Z40" s="143"/>
      <c r="AA40" s="143"/>
    </row>
    <row r="41" spans="1:32" ht="11.25" customHeight="1" thickBot="1" x14ac:dyDescent="0.3">
      <c r="A41" s="67"/>
      <c r="B41" s="596"/>
      <c r="C41" s="597"/>
      <c r="D41" s="598"/>
      <c r="E41" s="139"/>
      <c r="F41" s="599"/>
      <c r="G41" s="600"/>
      <c r="H41" s="585"/>
      <c r="I41" s="586"/>
      <c r="J41" s="586"/>
      <c r="K41" s="586"/>
      <c r="L41" s="586"/>
      <c r="M41" s="586"/>
      <c r="N41" s="586"/>
      <c r="O41" s="586"/>
      <c r="P41" s="586"/>
      <c r="Q41" s="587"/>
      <c r="R41" s="262"/>
      <c r="S41" s="59"/>
      <c r="T41" s="143"/>
      <c r="U41" s="143"/>
      <c r="V41" s="143"/>
      <c r="W41" s="143"/>
      <c r="X41" s="143"/>
      <c r="Y41" s="143"/>
      <c r="Z41" s="143"/>
      <c r="AA41" s="143"/>
    </row>
    <row r="42" spans="1:32" x14ac:dyDescent="0.2">
      <c r="A42" s="67"/>
      <c r="B42" s="67"/>
      <c r="C42" s="67"/>
      <c r="D42" s="67"/>
      <c r="E42" s="67"/>
      <c r="F42" s="67"/>
      <c r="G42" s="67"/>
      <c r="H42" s="67"/>
      <c r="I42" s="67"/>
      <c r="J42" s="67"/>
      <c r="K42" s="67"/>
      <c r="L42" s="67"/>
      <c r="M42" s="67"/>
      <c r="N42" s="67"/>
      <c r="O42" s="67"/>
      <c r="P42" s="67"/>
      <c r="Q42" s="67"/>
      <c r="R42" s="67"/>
      <c r="S42" s="67"/>
    </row>
  </sheetData>
  <sheetProtection algorithmName="SHA-512" hashValue="K1iJYv+WgJlRtO2ufC5oJRdBkHFIP5MDh1YIPt/5+yuRjJRLJdc6DAkIvkaDLWyUUvNLPwTYjDdG0+zJQj3MmA==" saltValue="qh/0OgAWn4yr/QWS8i2ohw==" spinCount="100000" sheet="1" objects="1" scenarios="1"/>
  <sortState xmlns:xlrd2="http://schemas.microsoft.com/office/spreadsheetml/2017/richdata2" ref="C7:K18">
    <sortCondition ref="K7:K18"/>
  </sortState>
  <mergeCells count="19">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 ref="F40:G40"/>
    <mergeCell ref="D2:F2"/>
    <mergeCell ref="E3:I3"/>
  </mergeCells>
  <phoneticPr fontId="70"/>
  <dataValidations count="9">
    <dataValidation type="list" allowBlank="1" showInputMessage="1" showErrorMessage="1" sqref="P2 F37:G37" xr:uid="{00000000-0002-0000-0100-000000000000}">
      <formula1>開催日</formula1>
    </dataValidation>
    <dataValidation type="list" allowBlank="1" showInputMessage="1" showErrorMessage="1" sqref="Q2:R2" xr:uid="{00000000-0002-0000-0100-000001000000}">
      <formula1>時刻</formula1>
    </dataValidation>
    <dataValidation type="list" allowBlank="1" showInputMessage="1" showErrorMessage="1" sqref="J3:K3" xr:uid="{00000000-0002-0000-0100-000002000000}">
      <formula1>暫定</formula1>
    </dataValidation>
    <dataValidation type="list" allowBlank="1" showInputMessage="1" showErrorMessage="1" sqref="G2" xr:uid="{00000000-0002-0000-0100-000003000000}">
      <formula1>月</formula1>
    </dataValidation>
    <dataValidation type="list" allowBlank="1" showInputMessage="1" showErrorMessage="1" sqref="N2 F38:G38" xr:uid="{00000000-0002-0000-0100-000004000000}">
      <formula1>コース</formula1>
    </dataValidation>
    <dataValidation type="list" showInputMessage="1" showErrorMessage="1" sqref="E3" xr:uid="{00000000-0002-0000-0100-000005000000}">
      <formula1>レース名</formula1>
    </dataValidation>
    <dataValidation type="list" allowBlank="1" showInputMessage="1" showErrorMessage="1" sqref="I6" xr:uid="{00000000-0002-0000-0100-000006000000}">
      <formula1>ＴＡ</formula1>
    </dataValidation>
    <dataValidation type="list" allowBlank="1" showInputMessage="1" showErrorMessage="1" sqref="D3" xr:uid="{00000000-0002-0000-0100-000007000000}">
      <formula1>レース番号</formula1>
    </dataValidation>
    <dataValidation type="list" allowBlank="1" showInputMessage="1" showErrorMessage="1" sqref="O6" xr:uid="{A1B3AC09-30AF-478F-BA68-D3BA1DC3D318}">
      <formula1>$AB$6:$AF$6</formula1>
    </dataValidation>
  </dataValidations>
  <pageMargins left="0.31496062992125984" right="0" top="0.35433070866141736" bottom="0.19685039370078741" header="0" footer="0"/>
  <pageSetup paperSize="9" scale="99" orientation="landscape" horizontalDpi="4294967293"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2"/>
  <sheetViews>
    <sheetView zoomScale="85" zoomScaleNormal="85" workbookViewId="0">
      <selection activeCell="H32" sqref="H32:Q41"/>
    </sheetView>
  </sheetViews>
  <sheetFormatPr defaultColWidth="9" defaultRowHeight="13" x14ac:dyDescent="0.2"/>
  <cols>
    <col min="1" max="1" width="1.7265625" style="142" customWidth="1"/>
    <col min="2" max="2" width="5" style="142" customWidth="1"/>
    <col min="3" max="3" width="7" style="142" customWidth="1"/>
    <col min="4" max="4" width="18" style="142" customWidth="1"/>
    <col min="5" max="5" width="8" style="142" hidden="1" customWidth="1"/>
    <col min="6" max="6" width="5.6328125" style="142" customWidth="1"/>
    <col min="7" max="7" width="10.90625" style="142" customWidth="1"/>
    <col min="8" max="8" width="8.36328125" style="142" customWidth="1"/>
    <col min="9" max="9" width="8.6328125" style="142" customWidth="1"/>
    <col min="10" max="10" width="5" style="142" customWidth="1"/>
    <col min="11" max="11" width="8.453125" style="142" customWidth="1"/>
    <col min="12" max="12" width="10.90625" style="142" customWidth="1"/>
    <col min="13" max="13" width="9.453125" style="142" customWidth="1"/>
    <col min="14" max="14" width="7.90625" style="142" customWidth="1"/>
    <col min="15" max="15" width="8" style="142" customWidth="1"/>
    <col min="16" max="16" width="12" style="142" bestFit="1" customWidth="1"/>
    <col min="17" max="17" width="11.6328125" style="142" customWidth="1"/>
    <col min="18" max="18" width="1.6328125" style="142" customWidth="1"/>
    <col min="19" max="19" width="4.90625" style="142" customWidth="1"/>
    <col min="20" max="22" width="7.6328125" style="142" hidden="1" customWidth="1"/>
    <col min="23" max="23" width="8.26953125" style="142" customWidth="1"/>
    <col min="24" max="26" width="7.6328125" style="142" customWidth="1"/>
    <col min="27" max="27" width="4.453125" style="142" customWidth="1"/>
    <col min="28" max="30" width="8" style="142" customWidth="1"/>
    <col min="31" max="16384" width="9" style="142"/>
  </cols>
  <sheetData>
    <row r="1" spans="1:32" ht="9.75" customHeight="1" thickBot="1" x14ac:dyDescent="0.25">
      <c r="A1" s="67"/>
      <c r="B1" s="67"/>
      <c r="C1" s="67"/>
      <c r="D1" s="67"/>
      <c r="E1" s="67"/>
      <c r="F1" s="67"/>
      <c r="G1" s="67"/>
      <c r="H1" s="67"/>
      <c r="I1" s="67"/>
      <c r="J1" s="67"/>
      <c r="K1" s="67"/>
      <c r="L1" s="67"/>
      <c r="M1" s="67"/>
      <c r="N1" s="67"/>
      <c r="O1" s="67"/>
      <c r="P1" s="67"/>
      <c r="Q1" s="67"/>
      <c r="R1" s="67"/>
      <c r="S1" s="67"/>
    </row>
    <row r="2" spans="1:32" ht="21" x14ac:dyDescent="0.3">
      <c r="A2" s="67"/>
      <c r="B2" s="59"/>
      <c r="C2" s="60"/>
      <c r="D2" s="563" t="str">
        <f>参照ﾃﾞｰﾀ!F4</f>
        <v>2026年</v>
      </c>
      <c r="E2" s="563"/>
      <c r="F2" s="563"/>
      <c r="G2" s="61" t="s">
        <v>143</v>
      </c>
      <c r="H2" s="62"/>
      <c r="I2" s="63"/>
      <c r="J2" s="59"/>
      <c r="K2" s="64"/>
      <c r="L2" s="59"/>
      <c r="M2" s="65" t="s">
        <v>33</v>
      </c>
      <c r="N2" s="457" t="str">
        <f>参照ﾃﾞｰﾀ!AA6</f>
        <v>F</v>
      </c>
      <c r="O2" s="66" t="s">
        <v>35</v>
      </c>
      <c r="P2" s="183">
        <f>参照ﾃﾞｰﾀ!J6</f>
        <v>46096</v>
      </c>
      <c r="Q2" s="507">
        <v>0.4375</v>
      </c>
      <c r="R2" s="259"/>
      <c r="S2" s="59"/>
      <c r="T2" s="144" t="s">
        <v>2</v>
      </c>
      <c r="U2" s="143"/>
      <c r="V2" s="143"/>
      <c r="W2" s="144" t="str">
        <f>参照ＴＡ!AC3</f>
        <v>2026年</v>
      </c>
      <c r="X2" s="144" t="str">
        <f>参照ＴＡ!V3</f>
        <v>3月</v>
      </c>
      <c r="Y2" s="143"/>
      <c r="Z2" s="143"/>
      <c r="AA2" s="143"/>
    </row>
    <row r="3" spans="1:32" ht="21.75" customHeight="1" thickBot="1" x14ac:dyDescent="0.35">
      <c r="A3" s="67"/>
      <c r="B3" s="59"/>
      <c r="C3" s="67"/>
      <c r="D3" s="68" t="str">
        <f>参照ﾃﾞｰﾀ!M6</f>
        <v>＃618</v>
      </c>
      <c r="E3" s="564" t="s">
        <v>45</v>
      </c>
      <c r="F3" s="564"/>
      <c r="G3" s="564"/>
      <c r="H3" s="564"/>
      <c r="I3" s="564"/>
      <c r="J3" s="565" t="s">
        <v>36</v>
      </c>
      <c r="K3" s="565"/>
      <c r="L3" s="59"/>
      <c r="M3" s="69" t="s">
        <v>56</v>
      </c>
      <c r="N3" s="70">
        <f>IF(ISBLANK(N2),"",VLOOKUP(N2,コース・距離,2,FALSE))</f>
        <v>15.4</v>
      </c>
      <c r="O3" s="71" t="s">
        <v>0</v>
      </c>
      <c r="P3" s="456">
        <v>15</v>
      </c>
      <c r="Q3" s="72" t="s">
        <v>1</v>
      </c>
      <c r="R3" s="260"/>
      <c r="S3" s="59"/>
      <c r="T3" s="143" t="s">
        <v>168</v>
      </c>
      <c r="U3" s="143"/>
      <c r="V3" s="143"/>
      <c r="W3" s="144" t="s">
        <v>2</v>
      </c>
      <c r="X3" s="143"/>
      <c r="Y3" s="143"/>
      <c r="Z3" s="143"/>
      <c r="AA3" s="143"/>
      <c r="AB3" s="145" t="s">
        <v>57</v>
      </c>
    </row>
    <row r="4" spans="1:32" ht="7.5" customHeight="1" thickBot="1" x14ac:dyDescent="0.3">
      <c r="A4" s="67"/>
      <c r="B4" s="59"/>
      <c r="C4" s="59"/>
      <c r="D4" s="59"/>
      <c r="E4" s="59"/>
      <c r="F4" s="59"/>
      <c r="G4" s="59"/>
      <c r="H4" s="59"/>
      <c r="I4" s="59"/>
      <c r="J4" s="59"/>
      <c r="K4" s="59"/>
      <c r="L4" s="59"/>
      <c r="M4" s="59"/>
      <c r="N4" s="59"/>
      <c r="O4" s="59"/>
      <c r="P4" s="59"/>
      <c r="Q4" s="59"/>
      <c r="R4" s="59"/>
      <c r="S4" s="59"/>
      <c r="T4" s="143"/>
      <c r="U4" s="143"/>
      <c r="V4" s="143"/>
      <c r="W4" s="146"/>
      <c r="X4" s="143"/>
      <c r="Y4" s="143"/>
      <c r="Z4" s="143"/>
      <c r="AA4" s="143"/>
    </row>
    <row r="5" spans="1:32" ht="14" x14ac:dyDescent="0.2">
      <c r="A5" s="67"/>
      <c r="B5" s="73" t="s">
        <v>3</v>
      </c>
      <c r="C5" s="74" t="s">
        <v>4</v>
      </c>
      <c r="D5" s="74" t="s">
        <v>5</v>
      </c>
      <c r="E5" s="74" t="s">
        <v>6</v>
      </c>
      <c r="F5" s="74" t="s">
        <v>7</v>
      </c>
      <c r="G5" s="74" t="s">
        <v>8</v>
      </c>
      <c r="H5" s="74" t="s">
        <v>9</v>
      </c>
      <c r="I5" s="74" t="s">
        <v>10</v>
      </c>
      <c r="J5" s="74" t="s">
        <v>11</v>
      </c>
      <c r="K5" s="74" t="s">
        <v>12</v>
      </c>
      <c r="L5" s="75" t="s">
        <v>178</v>
      </c>
      <c r="M5" s="75" t="s">
        <v>175</v>
      </c>
      <c r="N5" s="74" t="s">
        <v>52</v>
      </c>
      <c r="O5" s="74" t="s">
        <v>13</v>
      </c>
      <c r="P5" s="566" t="s">
        <v>51</v>
      </c>
      <c r="Q5" s="567"/>
      <c r="R5" s="261"/>
      <c r="S5" s="140"/>
      <c r="T5" s="149" t="s">
        <v>10</v>
      </c>
      <c r="U5" s="147" t="s">
        <v>10</v>
      </c>
      <c r="V5" s="150" t="s">
        <v>10</v>
      </c>
      <c r="W5" s="149" t="s">
        <v>10</v>
      </c>
      <c r="X5" s="147" t="s">
        <v>10</v>
      </c>
      <c r="Y5" s="316" t="s">
        <v>10</v>
      </c>
      <c r="Z5" s="150" t="s">
        <v>10</v>
      </c>
      <c r="AA5" s="148"/>
      <c r="AB5" s="149" t="s">
        <v>13</v>
      </c>
      <c r="AC5" s="147" t="s">
        <v>13</v>
      </c>
      <c r="AD5" s="316" t="s">
        <v>13</v>
      </c>
      <c r="AE5" s="147" t="s">
        <v>13</v>
      </c>
      <c r="AF5" s="374" t="s">
        <v>13</v>
      </c>
    </row>
    <row r="6" spans="1:32" ht="14" x14ac:dyDescent="0.2">
      <c r="A6" s="67"/>
      <c r="B6" s="76"/>
      <c r="C6" s="77" t="s">
        <v>14</v>
      </c>
      <c r="D6" s="78"/>
      <c r="E6" s="79" t="s">
        <v>15</v>
      </c>
      <c r="F6" s="79"/>
      <c r="G6" s="77" t="s">
        <v>16</v>
      </c>
      <c r="H6" s="79" t="s">
        <v>17</v>
      </c>
      <c r="I6" s="455" t="s">
        <v>245</v>
      </c>
      <c r="J6" s="79" t="s">
        <v>18</v>
      </c>
      <c r="K6" s="79" t="s">
        <v>17</v>
      </c>
      <c r="L6" s="77" t="s">
        <v>16</v>
      </c>
      <c r="M6" s="79" t="s">
        <v>31</v>
      </c>
      <c r="N6" s="79" t="s">
        <v>19</v>
      </c>
      <c r="O6" s="373" t="str">
        <f>参照ﾃﾞｰﾀ!K6</f>
        <v>MAX=25</v>
      </c>
      <c r="P6" s="80"/>
      <c r="Q6" s="81"/>
      <c r="R6" s="140"/>
      <c r="S6" s="141"/>
      <c r="T6" s="153" t="s">
        <v>20</v>
      </c>
      <c r="U6" s="151" t="s">
        <v>22</v>
      </c>
      <c r="V6" s="154" t="s">
        <v>21</v>
      </c>
      <c r="W6" s="153" t="s">
        <v>20</v>
      </c>
      <c r="X6" s="151" t="s">
        <v>22</v>
      </c>
      <c r="Y6" s="414" t="s">
        <v>21</v>
      </c>
      <c r="Z6" s="154" t="s">
        <v>230</v>
      </c>
      <c r="AA6" s="152"/>
      <c r="AB6" s="382" t="s">
        <v>192</v>
      </c>
      <c r="AC6" s="373" t="s">
        <v>59</v>
      </c>
      <c r="AD6" s="383" t="s">
        <v>191</v>
      </c>
      <c r="AE6" s="373" t="s">
        <v>231</v>
      </c>
      <c r="AF6" s="379" t="s">
        <v>232</v>
      </c>
    </row>
    <row r="7" spans="1:32" ht="14" x14ac:dyDescent="0.2">
      <c r="A7" s="67"/>
      <c r="B7" s="82">
        <v>1</v>
      </c>
      <c r="C7" s="83"/>
      <c r="D7" s="84" t="str">
        <f t="shared" ref="D7:D31" si="0">IF(ISBLANK(C7),"",VLOOKUP(C7,第3月ＴＡ,2,FALSE))</f>
        <v/>
      </c>
      <c r="E7" s="168" t="str">
        <f t="shared" ref="E7:E11" si="1">IF($I$6="Ⅰ",T7,IF($I$6="Ⅱ",U7,IF($I$6="Ⅲ",V7,"")))</f>
        <v/>
      </c>
      <c r="F7" s="85">
        <v>1</v>
      </c>
      <c r="G7" s="86"/>
      <c r="H7" s="83" t="str">
        <f t="shared" ref="H7:H11" si="2">IFERROR(IF(G7-$Q$2&lt;=0,"",(G7-$Q$2)*86400),"")</f>
        <v/>
      </c>
      <c r="I7" s="87" t="str">
        <f>IF($I$6="Ⅰ",W7,IF($I$6="Ⅱ",X7,IF($I$6="Ⅲ",Y7,IF($I$6="IV",Z7,""))))</f>
        <v/>
      </c>
      <c r="J7" s="85"/>
      <c r="K7" s="88" t="str">
        <f t="shared" ref="K7:K11" si="3">IFERROR(H7*(1+0.01*J7)-I7*$N$3,"")</f>
        <v/>
      </c>
      <c r="L7" s="86" t="str">
        <f t="shared" ref="L7:L11" si="4">IFERROR((K7-$K$7)/86400,"")</f>
        <v/>
      </c>
      <c r="M7" s="89" t="str">
        <f t="shared" ref="M7:M11" si="5">IFERROR((K7-$K$7)/$N$3,"")</f>
        <v/>
      </c>
      <c r="N7" s="90" t="str">
        <f t="shared" ref="N7:N11" si="6">IFERROR($N$3/(H7/3600),"")</f>
        <v/>
      </c>
      <c r="O7" s="388">
        <f t="shared" ref="O7:O8" si="7">ROUND(IF($O$6="MAX=15",AB7,IF($O$6="MAX=20",AC7,IF($O$6="MAX=25",AD7,IF($O$6="MAX=30",AE7,IF($O$6="MAX=40",AF7))))),1)</f>
        <v>25</v>
      </c>
      <c r="P7" s="173"/>
      <c r="Q7" s="91"/>
      <c r="R7" s="140"/>
      <c r="S7" s="140"/>
      <c r="T7" s="156" t="str">
        <f t="shared" ref="T7:T31" si="8">IF(ISBLANK(C7),"",VLOOKUP(C7,各艇データ,3,FALSE))</f>
        <v/>
      </c>
      <c r="U7" s="157" t="str">
        <f t="shared" ref="U7:U31" si="9">IF(ISBLANK(C7),"",VLOOKUP(C7,各艇データ,4,FALSE))</f>
        <v/>
      </c>
      <c r="V7" s="158" t="str">
        <f t="shared" ref="V7:V31" si="10">IF(ISBLANK(C7),"",VLOOKUP(C7,各艇データ,5,FALSE))</f>
        <v/>
      </c>
      <c r="W7" s="310" t="str">
        <f t="shared" ref="W7:W31" si="11">IF(ISBLANK(C7),"",VLOOKUP(C7,第3月ＴＡ,3,FALSE))</f>
        <v/>
      </c>
      <c r="X7" s="311" t="str">
        <f t="shared" ref="X7:X31" si="12">IF(ISBLANK(C7),"",VLOOKUP(C7,第3月ＴＡ,4,FALSE))</f>
        <v/>
      </c>
      <c r="Y7" s="415" t="str">
        <f t="shared" ref="Y7:Y31" si="13">IF(ISBLANK(C7),"",VLOOKUP(C7,第3月ＴＡ,5,FALSE))</f>
        <v/>
      </c>
      <c r="Z7" s="159" t="str">
        <f t="shared" ref="Z7:Z31" si="14">IF(ISBLANK(C7),"",VLOOKUP(C7,第1月ＴＡ,6,FALSE))</f>
        <v/>
      </c>
      <c r="AA7" s="148"/>
      <c r="AB7" s="160">
        <f>IF(ISBLANK($B7),"",IFERROR(15*($P$3+1-$B7)/$P$3,"15.0"))</f>
        <v>15</v>
      </c>
      <c r="AC7" s="155">
        <f>IF(ISBLANK($B7),"",IFERROR(20*($P$3+1-$B7)/$P$3,"20.0"))</f>
        <v>20</v>
      </c>
      <c r="AD7" s="155">
        <f>IF(ISBLANK($B7),"",IFERROR(25*($P$3+1-$B7)/$P$3,"25.0"))</f>
        <v>25</v>
      </c>
      <c r="AE7" s="155">
        <f>IF(ISBLANK($B7),"",IFERROR(30*($P$3+1-$B7)/$P$3,"30.0"))</f>
        <v>30</v>
      </c>
      <c r="AF7" s="384">
        <f>IF(ISBLANK($B7),"",IFERROR(40*($P$3+1-$B7)/$P$3,"40.0"))</f>
        <v>40</v>
      </c>
    </row>
    <row r="8" spans="1:32" ht="14" x14ac:dyDescent="0.2">
      <c r="A8" s="67"/>
      <c r="B8" s="92">
        <v>2</v>
      </c>
      <c r="C8" s="93"/>
      <c r="D8" s="94" t="str">
        <f t="shared" si="0"/>
        <v/>
      </c>
      <c r="E8" s="169" t="str">
        <f t="shared" si="1"/>
        <v/>
      </c>
      <c r="F8" s="95">
        <v>2</v>
      </c>
      <c r="G8" s="96"/>
      <c r="H8" s="93" t="str">
        <f t="shared" si="2"/>
        <v/>
      </c>
      <c r="I8" s="97" t="str">
        <f t="shared" ref="I8:I31" si="15">IF($I$6="Ⅰ",W8,IF($I$6="Ⅱ",X8,IF($I$6="Ⅲ",Y8,IF($I$6="IV",Z8,""))))</f>
        <v/>
      </c>
      <c r="J8" s="95"/>
      <c r="K8" s="98" t="str">
        <f t="shared" si="3"/>
        <v/>
      </c>
      <c r="L8" s="96" t="str">
        <f t="shared" si="4"/>
        <v/>
      </c>
      <c r="M8" s="99" t="str">
        <f t="shared" si="5"/>
        <v/>
      </c>
      <c r="N8" s="100" t="str">
        <f t="shared" si="6"/>
        <v/>
      </c>
      <c r="O8" s="339">
        <f t="shared" si="7"/>
        <v>23.3</v>
      </c>
      <c r="P8" s="101"/>
      <c r="Q8" s="102"/>
      <c r="R8" s="140"/>
      <c r="S8" s="140"/>
      <c r="T8" s="156" t="str">
        <f t="shared" si="8"/>
        <v/>
      </c>
      <c r="U8" s="157" t="str">
        <f t="shared" si="9"/>
        <v/>
      </c>
      <c r="V8" s="158" t="str">
        <f t="shared" si="10"/>
        <v/>
      </c>
      <c r="W8" s="310" t="str">
        <f t="shared" si="11"/>
        <v/>
      </c>
      <c r="X8" s="311" t="str">
        <f t="shared" si="12"/>
        <v/>
      </c>
      <c r="Y8" s="415" t="str">
        <f t="shared" si="13"/>
        <v/>
      </c>
      <c r="Z8" s="159" t="str">
        <f t="shared" si="14"/>
        <v/>
      </c>
      <c r="AA8" s="148"/>
      <c r="AB8" s="160">
        <f t="shared" ref="AB8:AB30" si="16">IF(ISBLANK($B8),"",IFERROR(15*($P$3+1-$B8)/$P$3,"15.0"))</f>
        <v>14</v>
      </c>
      <c r="AC8" s="155">
        <f t="shared" ref="AC8:AC30" si="17">IF(ISBLANK($B8),"",IFERROR(20*($P$3+1-$B8)/$P$3,"20.0"))</f>
        <v>18.666666666666668</v>
      </c>
      <c r="AD8" s="155">
        <f t="shared" ref="AD8:AD30" si="18">IF(ISBLANK($B8),"",IFERROR(25*($P$3+1-$B8)/$P$3,"25.0"))</f>
        <v>23.333333333333332</v>
      </c>
      <c r="AE8" s="155">
        <f t="shared" ref="AE8:AE26" si="19">IF(ISBLANK($B8),"",IFERROR(30*($P$3+1-$B8)/$P$3,"30.0"))</f>
        <v>28</v>
      </c>
      <c r="AF8" s="384">
        <f t="shared" ref="AF8:AF31" si="20">IF(ISBLANK($B8),"",IFERROR(40*($P$3+1-$B8)/$P$3,"40.0"))</f>
        <v>37.333333333333336</v>
      </c>
    </row>
    <row r="9" spans="1:32" ht="14" x14ac:dyDescent="0.2">
      <c r="A9" s="67"/>
      <c r="B9" s="92">
        <v>3</v>
      </c>
      <c r="C9" s="93"/>
      <c r="D9" s="94" t="str">
        <f t="shared" si="0"/>
        <v/>
      </c>
      <c r="E9" s="169" t="str">
        <f t="shared" si="1"/>
        <v/>
      </c>
      <c r="F9" s="95">
        <v>3</v>
      </c>
      <c r="G9" s="96"/>
      <c r="H9" s="93" t="str">
        <f t="shared" si="2"/>
        <v/>
      </c>
      <c r="I9" s="97" t="str">
        <f t="shared" si="15"/>
        <v/>
      </c>
      <c r="J9" s="95"/>
      <c r="K9" s="98" t="str">
        <f t="shared" si="3"/>
        <v/>
      </c>
      <c r="L9" s="96" t="str">
        <f t="shared" si="4"/>
        <v/>
      </c>
      <c r="M9" s="99" t="str">
        <f t="shared" si="5"/>
        <v/>
      </c>
      <c r="N9" s="100" t="str">
        <f t="shared" si="6"/>
        <v/>
      </c>
      <c r="O9" s="339">
        <f>ROUND(IF($O$6="MAX=15",AB9,IF($O$6="MAX=20",AC9,IF($O$6="MAX=25",AD9,IF($O$6="MAX=30",AE9,IF($O$6="MAX=40",AF9))))),1)</f>
        <v>21.7</v>
      </c>
      <c r="P9" s="101"/>
      <c r="Q9" s="102"/>
      <c r="R9" s="140"/>
      <c r="S9" s="140"/>
      <c r="T9" s="156" t="str">
        <f t="shared" si="8"/>
        <v/>
      </c>
      <c r="U9" s="157" t="str">
        <f t="shared" si="9"/>
        <v/>
      </c>
      <c r="V9" s="158" t="str">
        <f t="shared" si="10"/>
        <v/>
      </c>
      <c r="W9" s="310" t="str">
        <f t="shared" si="11"/>
        <v/>
      </c>
      <c r="X9" s="311" t="str">
        <f t="shared" si="12"/>
        <v/>
      </c>
      <c r="Y9" s="415" t="str">
        <f t="shared" si="13"/>
        <v/>
      </c>
      <c r="Z9" s="159" t="str">
        <f t="shared" si="14"/>
        <v/>
      </c>
      <c r="AA9" s="148"/>
      <c r="AB9" s="160">
        <f t="shared" si="16"/>
        <v>13</v>
      </c>
      <c r="AC9" s="155">
        <f t="shared" si="17"/>
        <v>17.333333333333332</v>
      </c>
      <c r="AD9" s="155">
        <f t="shared" si="18"/>
        <v>21.666666666666668</v>
      </c>
      <c r="AE9" s="155">
        <f t="shared" si="19"/>
        <v>26</v>
      </c>
      <c r="AF9" s="384">
        <f t="shared" si="20"/>
        <v>34.666666666666664</v>
      </c>
    </row>
    <row r="10" spans="1:32" ht="14" x14ac:dyDescent="0.2">
      <c r="A10" s="67"/>
      <c r="B10" s="92">
        <v>4</v>
      </c>
      <c r="C10" s="93"/>
      <c r="D10" s="94" t="str">
        <f t="shared" si="0"/>
        <v/>
      </c>
      <c r="E10" s="169" t="str">
        <f t="shared" si="1"/>
        <v/>
      </c>
      <c r="F10" s="95">
        <v>4</v>
      </c>
      <c r="G10" s="96"/>
      <c r="H10" s="93" t="str">
        <f t="shared" si="2"/>
        <v/>
      </c>
      <c r="I10" s="97" t="str">
        <f t="shared" si="15"/>
        <v/>
      </c>
      <c r="J10" s="95"/>
      <c r="K10" s="98" t="str">
        <f t="shared" si="3"/>
        <v/>
      </c>
      <c r="L10" s="96" t="str">
        <f t="shared" si="4"/>
        <v/>
      </c>
      <c r="M10" s="99" t="str">
        <f t="shared" si="5"/>
        <v/>
      </c>
      <c r="N10" s="100" t="str">
        <f t="shared" si="6"/>
        <v/>
      </c>
      <c r="O10" s="339">
        <f t="shared" ref="O10:O31" si="21">ROUND(IF($O$6="MAX=15",AB10,IF($O$6="MAX=20",AC10,IF($O$6="MAX=25",AD10,IF($O$6="MAX=30",AE10,IF($O$6="MAX=40",AF10))))),1)</f>
        <v>20</v>
      </c>
      <c r="P10" s="164"/>
      <c r="Q10" s="102"/>
      <c r="R10" s="140"/>
      <c r="S10" s="140"/>
      <c r="T10" s="156" t="str">
        <f t="shared" si="8"/>
        <v/>
      </c>
      <c r="U10" s="157" t="str">
        <f t="shared" si="9"/>
        <v/>
      </c>
      <c r="V10" s="158" t="str">
        <f t="shared" si="10"/>
        <v/>
      </c>
      <c r="W10" s="310" t="str">
        <f t="shared" si="11"/>
        <v/>
      </c>
      <c r="X10" s="311" t="str">
        <f t="shared" si="12"/>
        <v/>
      </c>
      <c r="Y10" s="415" t="str">
        <f t="shared" si="13"/>
        <v/>
      </c>
      <c r="Z10" s="159" t="str">
        <f t="shared" si="14"/>
        <v/>
      </c>
      <c r="AA10" s="148"/>
      <c r="AB10" s="160">
        <f t="shared" si="16"/>
        <v>12</v>
      </c>
      <c r="AC10" s="155">
        <f t="shared" si="17"/>
        <v>16</v>
      </c>
      <c r="AD10" s="155">
        <f t="shared" si="18"/>
        <v>20</v>
      </c>
      <c r="AE10" s="155">
        <f t="shared" si="19"/>
        <v>24</v>
      </c>
      <c r="AF10" s="384">
        <f t="shared" si="20"/>
        <v>32</v>
      </c>
    </row>
    <row r="11" spans="1:32" ht="14" x14ac:dyDescent="0.2">
      <c r="A11" s="67"/>
      <c r="B11" s="103">
        <v>5</v>
      </c>
      <c r="C11" s="104"/>
      <c r="D11" s="105" t="str">
        <f t="shared" si="0"/>
        <v/>
      </c>
      <c r="E11" s="170" t="str">
        <f t="shared" si="1"/>
        <v/>
      </c>
      <c r="F11" s="106">
        <v>5</v>
      </c>
      <c r="G11" s="107"/>
      <c r="H11" s="108" t="str">
        <f t="shared" si="2"/>
        <v/>
      </c>
      <c r="I11" s="109" t="str">
        <f t="shared" si="15"/>
        <v/>
      </c>
      <c r="J11" s="110"/>
      <c r="K11" s="111" t="str">
        <f t="shared" si="3"/>
        <v/>
      </c>
      <c r="L11" s="112" t="str">
        <f t="shared" si="4"/>
        <v/>
      </c>
      <c r="M11" s="113" t="str">
        <f t="shared" si="5"/>
        <v/>
      </c>
      <c r="N11" s="114" t="str">
        <f t="shared" si="6"/>
        <v/>
      </c>
      <c r="O11" s="389">
        <f t="shared" si="21"/>
        <v>18.3</v>
      </c>
      <c r="P11" s="115"/>
      <c r="Q11" s="116"/>
      <c r="R11" s="140"/>
      <c r="S11" s="140"/>
      <c r="T11" s="156" t="str">
        <f t="shared" si="8"/>
        <v/>
      </c>
      <c r="U11" s="157" t="str">
        <f t="shared" si="9"/>
        <v/>
      </c>
      <c r="V11" s="158" t="str">
        <f t="shared" si="10"/>
        <v/>
      </c>
      <c r="W11" s="310" t="str">
        <f t="shared" si="11"/>
        <v/>
      </c>
      <c r="X11" s="311" t="str">
        <f t="shared" si="12"/>
        <v/>
      </c>
      <c r="Y11" s="415" t="str">
        <f t="shared" si="13"/>
        <v/>
      </c>
      <c r="Z11" s="159" t="str">
        <f t="shared" si="14"/>
        <v/>
      </c>
      <c r="AA11" s="148"/>
      <c r="AB11" s="160">
        <f t="shared" si="16"/>
        <v>11</v>
      </c>
      <c r="AC11" s="155">
        <f t="shared" si="17"/>
        <v>14.666666666666666</v>
      </c>
      <c r="AD11" s="155">
        <f t="shared" si="18"/>
        <v>18.333333333333332</v>
      </c>
      <c r="AE11" s="155">
        <f t="shared" si="19"/>
        <v>22</v>
      </c>
      <c r="AF11" s="384">
        <f t="shared" si="20"/>
        <v>29.333333333333332</v>
      </c>
    </row>
    <row r="12" spans="1:32" ht="14" x14ac:dyDescent="0.2">
      <c r="A12" s="67"/>
      <c r="B12" s="82">
        <v>6</v>
      </c>
      <c r="C12" s="83"/>
      <c r="D12" s="134" t="str">
        <f t="shared" si="0"/>
        <v/>
      </c>
      <c r="E12" s="168" t="str">
        <f t="shared" ref="E12:E26" si="22">IF($I$6="Ⅰ",T12,IF($I$6="Ⅱ",U12,IF($I$6="Ⅲ",V12,"")))</f>
        <v/>
      </c>
      <c r="F12" s="85">
        <v>6</v>
      </c>
      <c r="G12" s="86"/>
      <c r="H12" s="83" t="str">
        <f t="shared" ref="H12:H26" si="23">IFERROR(IF(G12-$Q$2&lt;=0,"",(G12-$Q$2)*86400),"")</f>
        <v/>
      </c>
      <c r="I12" s="87" t="str">
        <f t="shared" si="15"/>
        <v/>
      </c>
      <c r="J12" s="85"/>
      <c r="K12" s="88" t="str">
        <f t="shared" ref="K12:K26" si="24">IFERROR(H12*(1+0.01*J12)-I12*$N$3,"")</f>
        <v/>
      </c>
      <c r="L12" s="86" t="str">
        <f t="shared" ref="L12:L26" si="25">IFERROR((K12-$K$7)/86400,"")</f>
        <v/>
      </c>
      <c r="M12" s="89" t="str">
        <f t="shared" ref="M12:M26" si="26">IFERROR((K12-$K$7)/$N$3,"")</f>
        <v/>
      </c>
      <c r="N12" s="90" t="str">
        <f t="shared" ref="N12:N26" si="27">IFERROR($N$3/(H12/3600),"")</f>
        <v/>
      </c>
      <c r="O12" s="388">
        <f t="shared" si="21"/>
        <v>16.7</v>
      </c>
      <c r="P12" s="67"/>
      <c r="Q12" s="91"/>
      <c r="R12" s="140"/>
      <c r="S12" s="140"/>
      <c r="T12" s="156" t="str">
        <f t="shared" si="8"/>
        <v/>
      </c>
      <c r="U12" s="157" t="str">
        <f t="shared" si="9"/>
        <v/>
      </c>
      <c r="V12" s="158" t="str">
        <f t="shared" si="10"/>
        <v/>
      </c>
      <c r="W12" s="310" t="str">
        <f t="shared" si="11"/>
        <v/>
      </c>
      <c r="X12" s="311" t="str">
        <f t="shared" si="12"/>
        <v/>
      </c>
      <c r="Y12" s="415" t="str">
        <f t="shared" si="13"/>
        <v/>
      </c>
      <c r="Z12" s="159" t="str">
        <f t="shared" si="14"/>
        <v/>
      </c>
      <c r="AA12" s="148"/>
      <c r="AB12" s="160">
        <f t="shared" si="16"/>
        <v>10</v>
      </c>
      <c r="AC12" s="155">
        <f t="shared" si="17"/>
        <v>13.333333333333334</v>
      </c>
      <c r="AD12" s="155">
        <f t="shared" si="18"/>
        <v>16.666666666666668</v>
      </c>
      <c r="AE12" s="155">
        <f t="shared" si="19"/>
        <v>20</v>
      </c>
      <c r="AF12" s="384">
        <f t="shared" si="20"/>
        <v>26.666666666666668</v>
      </c>
    </row>
    <row r="13" spans="1:32" ht="14" x14ac:dyDescent="0.2">
      <c r="A13" s="67"/>
      <c r="B13" s="92">
        <v>7</v>
      </c>
      <c r="C13" s="93"/>
      <c r="D13" s="94" t="str">
        <f t="shared" si="0"/>
        <v/>
      </c>
      <c r="E13" s="169" t="str">
        <f t="shared" si="22"/>
        <v/>
      </c>
      <c r="F13" s="95">
        <v>7</v>
      </c>
      <c r="G13" s="96"/>
      <c r="H13" s="93" t="str">
        <f t="shared" si="23"/>
        <v/>
      </c>
      <c r="I13" s="97" t="str">
        <f t="shared" si="15"/>
        <v/>
      </c>
      <c r="J13" s="95"/>
      <c r="K13" s="98" t="str">
        <f t="shared" si="24"/>
        <v/>
      </c>
      <c r="L13" s="96" t="str">
        <f t="shared" si="25"/>
        <v/>
      </c>
      <c r="M13" s="99" t="str">
        <f t="shared" si="26"/>
        <v/>
      </c>
      <c r="N13" s="100" t="str">
        <f t="shared" si="27"/>
        <v/>
      </c>
      <c r="O13" s="339">
        <f t="shared" si="21"/>
        <v>15</v>
      </c>
      <c r="P13" s="131"/>
      <c r="Q13" s="102"/>
      <c r="R13" s="140"/>
      <c r="S13" s="140"/>
      <c r="T13" s="156" t="str">
        <f t="shared" si="8"/>
        <v/>
      </c>
      <c r="U13" s="157" t="str">
        <f t="shared" si="9"/>
        <v/>
      </c>
      <c r="V13" s="158" t="str">
        <f t="shared" si="10"/>
        <v/>
      </c>
      <c r="W13" s="310" t="str">
        <f t="shared" si="11"/>
        <v/>
      </c>
      <c r="X13" s="311" t="str">
        <f t="shared" si="12"/>
        <v/>
      </c>
      <c r="Y13" s="415" t="str">
        <f t="shared" si="13"/>
        <v/>
      </c>
      <c r="Z13" s="159" t="str">
        <f t="shared" si="14"/>
        <v/>
      </c>
      <c r="AA13" s="148"/>
      <c r="AB13" s="160">
        <f t="shared" si="16"/>
        <v>9</v>
      </c>
      <c r="AC13" s="155">
        <f t="shared" si="17"/>
        <v>12</v>
      </c>
      <c r="AD13" s="155">
        <f t="shared" si="18"/>
        <v>15</v>
      </c>
      <c r="AE13" s="155">
        <f t="shared" si="19"/>
        <v>18</v>
      </c>
      <c r="AF13" s="384">
        <f t="shared" si="20"/>
        <v>24</v>
      </c>
    </row>
    <row r="14" spans="1:32" ht="14" x14ac:dyDescent="0.2">
      <c r="A14" s="67"/>
      <c r="B14" s="92">
        <v>8</v>
      </c>
      <c r="C14" s="93"/>
      <c r="D14" s="94" t="str">
        <f t="shared" si="0"/>
        <v/>
      </c>
      <c r="E14" s="169" t="str">
        <f t="shared" si="22"/>
        <v/>
      </c>
      <c r="F14" s="95">
        <v>8</v>
      </c>
      <c r="G14" s="96"/>
      <c r="H14" s="93" t="str">
        <f t="shared" si="23"/>
        <v/>
      </c>
      <c r="I14" s="97" t="str">
        <f t="shared" si="15"/>
        <v/>
      </c>
      <c r="J14" s="95"/>
      <c r="K14" s="98" t="str">
        <f t="shared" si="24"/>
        <v/>
      </c>
      <c r="L14" s="96" t="str">
        <f t="shared" si="25"/>
        <v/>
      </c>
      <c r="M14" s="99" t="str">
        <f t="shared" si="26"/>
        <v/>
      </c>
      <c r="N14" s="100" t="str">
        <f t="shared" si="27"/>
        <v/>
      </c>
      <c r="O14" s="339">
        <f t="shared" si="21"/>
        <v>13.3</v>
      </c>
      <c r="P14" s="101"/>
      <c r="Q14" s="102"/>
      <c r="R14" s="140"/>
      <c r="S14" s="140"/>
      <c r="T14" s="156" t="str">
        <f t="shared" si="8"/>
        <v/>
      </c>
      <c r="U14" s="157" t="str">
        <f t="shared" si="9"/>
        <v/>
      </c>
      <c r="V14" s="158" t="str">
        <f t="shared" si="10"/>
        <v/>
      </c>
      <c r="W14" s="310" t="str">
        <f t="shared" si="11"/>
        <v/>
      </c>
      <c r="X14" s="311" t="str">
        <f t="shared" si="12"/>
        <v/>
      </c>
      <c r="Y14" s="415" t="str">
        <f t="shared" si="13"/>
        <v/>
      </c>
      <c r="Z14" s="159" t="str">
        <f t="shared" si="14"/>
        <v/>
      </c>
      <c r="AA14" s="148"/>
      <c r="AB14" s="160">
        <f t="shared" si="16"/>
        <v>8</v>
      </c>
      <c r="AC14" s="155">
        <f t="shared" si="17"/>
        <v>10.666666666666666</v>
      </c>
      <c r="AD14" s="155">
        <f t="shared" si="18"/>
        <v>13.333333333333334</v>
      </c>
      <c r="AE14" s="155">
        <f t="shared" si="19"/>
        <v>16</v>
      </c>
      <c r="AF14" s="384">
        <f t="shared" si="20"/>
        <v>21.333333333333332</v>
      </c>
    </row>
    <row r="15" spans="1:32" ht="14" x14ac:dyDescent="0.2">
      <c r="A15" s="67"/>
      <c r="B15" s="92">
        <v>9</v>
      </c>
      <c r="C15" s="93"/>
      <c r="D15" s="94" t="str">
        <f t="shared" si="0"/>
        <v/>
      </c>
      <c r="E15" s="169" t="str">
        <f t="shared" si="22"/>
        <v/>
      </c>
      <c r="F15" s="95">
        <v>9</v>
      </c>
      <c r="G15" s="96"/>
      <c r="H15" s="93" t="str">
        <f t="shared" si="23"/>
        <v/>
      </c>
      <c r="I15" s="97" t="str">
        <f t="shared" si="15"/>
        <v/>
      </c>
      <c r="J15" s="95"/>
      <c r="K15" s="98" t="str">
        <f t="shared" si="24"/>
        <v/>
      </c>
      <c r="L15" s="96" t="str">
        <f t="shared" si="25"/>
        <v/>
      </c>
      <c r="M15" s="99" t="str">
        <f t="shared" si="26"/>
        <v/>
      </c>
      <c r="N15" s="100" t="str">
        <f t="shared" si="27"/>
        <v/>
      </c>
      <c r="O15" s="339">
        <f t="shared" si="21"/>
        <v>11.7</v>
      </c>
      <c r="P15" s="131"/>
      <c r="Q15" s="102"/>
      <c r="R15" s="140"/>
      <c r="S15" s="140"/>
      <c r="T15" s="156" t="str">
        <f t="shared" si="8"/>
        <v/>
      </c>
      <c r="U15" s="157" t="str">
        <f t="shared" si="9"/>
        <v/>
      </c>
      <c r="V15" s="158" t="str">
        <f t="shared" si="10"/>
        <v/>
      </c>
      <c r="W15" s="310" t="str">
        <f t="shared" si="11"/>
        <v/>
      </c>
      <c r="X15" s="311" t="str">
        <f t="shared" si="12"/>
        <v/>
      </c>
      <c r="Y15" s="415" t="str">
        <f t="shared" si="13"/>
        <v/>
      </c>
      <c r="Z15" s="159" t="str">
        <f t="shared" si="14"/>
        <v/>
      </c>
      <c r="AA15" s="148"/>
      <c r="AB15" s="160">
        <f t="shared" si="16"/>
        <v>7</v>
      </c>
      <c r="AC15" s="155">
        <f t="shared" si="17"/>
        <v>9.3333333333333339</v>
      </c>
      <c r="AD15" s="155">
        <f t="shared" si="18"/>
        <v>11.666666666666666</v>
      </c>
      <c r="AE15" s="155">
        <f t="shared" si="19"/>
        <v>14</v>
      </c>
      <c r="AF15" s="384">
        <f t="shared" si="20"/>
        <v>18.666666666666668</v>
      </c>
    </row>
    <row r="16" spans="1:32" ht="14" x14ac:dyDescent="0.2">
      <c r="A16" s="67"/>
      <c r="B16" s="103">
        <v>10</v>
      </c>
      <c r="C16" s="104"/>
      <c r="D16" s="105" t="str">
        <f t="shared" si="0"/>
        <v/>
      </c>
      <c r="E16" s="170" t="str">
        <f t="shared" si="22"/>
        <v/>
      </c>
      <c r="F16" s="106">
        <v>10</v>
      </c>
      <c r="G16" s="107"/>
      <c r="H16" s="108" t="str">
        <f t="shared" si="23"/>
        <v/>
      </c>
      <c r="I16" s="109" t="str">
        <f t="shared" si="15"/>
        <v/>
      </c>
      <c r="J16" s="110"/>
      <c r="K16" s="111" t="str">
        <f t="shared" si="24"/>
        <v/>
      </c>
      <c r="L16" s="112" t="str">
        <f t="shared" si="25"/>
        <v/>
      </c>
      <c r="M16" s="113" t="str">
        <f t="shared" si="26"/>
        <v/>
      </c>
      <c r="N16" s="114" t="str">
        <f t="shared" si="27"/>
        <v/>
      </c>
      <c r="O16" s="389">
        <f t="shared" si="21"/>
        <v>10</v>
      </c>
      <c r="P16" s="166"/>
      <c r="Q16" s="116"/>
      <c r="R16" s="140"/>
      <c r="S16" s="140"/>
      <c r="T16" s="156" t="str">
        <f t="shared" si="8"/>
        <v/>
      </c>
      <c r="U16" s="157" t="str">
        <f t="shared" si="9"/>
        <v/>
      </c>
      <c r="V16" s="158" t="str">
        <f t="shared" si="10"/>
        <v/>
      </c>
      <c r="W16" s="310" t="str">
        <f t="shared" si="11"/>
        <v/>
      </c>
      <c r="X16" s="311" t="str">
        <f t="shared" si="12"/>
        <v/>
      </c>
      <c r="Y16" s="415" t="str">
        <f t="shared" si="13"/>
        <v/>
      </c>
      <c r="Z16" s="159" t="str">
        <f t="shared" si="14"/>
        <v/>
      </c>
      <c r="AA16" s="148"/>
      <c r="AB16" s="160">
        <f t="shared" si="16"/>
        <v>6</v>
      </c>
      <c r="AC16" s="155">
        <f t="shared" si="17"/>
        <v>8</v>
      </c>
      <c r="AD16" s="155">
        <f t="shared" si="18"/>
        <v>10</v>
      </c>
      <c r="AE16" s="155">
        <f t="shared" si="19"/>
        <v>12</v>
      </c>
      <c r="AF16" s="384">
        <f t="shared" si="20"/>
        <v>16</v>
      </c>
    </row>
    <row r="17" spans="1:32" ht="14" x14ac:dyDescent="0.2">
      <c r="A17" s="67"/>
      <c r="B17" s="82">
        <v>11</v>
      </c>
      <c r="C17" s="83"/>
      <c r="D17" s="134" t="str">
        <f t="shared" si="0"/>
        <v/>
      </c>
      <c r="E17" s="168" t="str">
        <f t="shared" si="22"/>
        <v/>
      </c>
      <c r="F17" s="286">
        <v>11</v>
      </c>
      <c r="G17" s="86"/>
      <c r="H17" s="83" t="str">
        <f t="shared" si="23"/>
        <v/>
      </c>
      <c r="I17" s="87" t="str">
        <f t="shared" si="15"/>
        <v/>
      </c>
      <c r="J17" s="85"/>
      <c r="K17" s="88" t="str">
        <f t="shared" si="24"/>
        <v/>
      </c>
      <c r="L17" s="86" t="str">
        <f t="shared" si="25"/>
        <v/>
      </c>
      <c r="M17" s="89" t="str">
        <f t="shared" si="26"/>
        <v/>
      </c>
      <c r="N17" s="90" t="str">
        <f t="shared" si="27"/>
        <v/>
      </c>
      <c r="O17" s="388">
        <f t="shared" si="21"/>
        <v>8.3000000000000007</v>
      </c>
      <c r="P17" s="167"/>
      <c r="Q17" s="91"/>
      <c r="R17" s="140"/>
      <c r="S17" s="140"/>
      <c r="T17" s="156" t="str">
        <f t="shared" si="8"/>
        <v/>
      </c>
      <c r="U17" s="157" t="str">
        <f t="shared" si="9"/>
        <v/>
      </c>
      <c r="V17" s="158" t="str">
        <f t="shared" si="10"/>
        <v/>
      </c>
      <c r="W17" s="310" t="str">
        <f t="shared" si="11"/>
        <v/>
      </c>
      <c r="X17" s="311" t="str">
        <f t="shared" si="12"/>
        <v/>
      </c>
      <c r="Y17" s="415" t="str">
        <f t="shared" si="13"/>
        <v/>
      </c>
      <c r="Z17" s="159" t="str">
        <f t="shared" si="14"/>
        <v/>
      </c>
      <c r="AA17" s="148"/>
      <c r="AB17" s="160">
        <f t="shared" si="16"/>
        <v>5</v>
      </c>
      <c r="AC17" s="155">
        <f t="shared" si="17"/>
        <v>6.666666666666667</v>
      </c>
      <c r="AD17" s="155">
        <f t="shared" si="18"/>
        <v>8.3333333333333339</v>
      </c>
      <c r="AE17" s="155">
        <f t="shared" si="19"/>
        <v>10</v>
      </c>
      <c r="AF17" s="384">
        <f t="shared" si="20"/>
        <v>13.333333333333334</v>
      </c>
    </row>
    <row r="18" spans="1:32" ht="14" x14ac:dyDescent="0.2">
      <c r="A18" s="67"/>
      <c r="B18" s="92">
        <v>12</v>
      </c>
      <c r="C18" s="93"/>
      <c r="D18" s="94" t="str">
        <f t="shared" si="0"/>
        <v/>
      </c>
      <c r="E18" s="169" t="str">
        <f t="shared" si="22"/>
        <v/>
      </c>
      <c r="F18" s="287">
        <v>12</v>
      </c>
      <c r="G18" s="96"/>
      <c r="H18" s="93" t="str">
        <f t="shared" si="23"/>
        <v/>
      </c>
      <c r="I18" s="97" t="str">
        <f t="shared" si="15"/>
        <v/>
      </c>
      <c r="J18" s="95"/>
      <c r="K18" s="98" t="str">
        <f t="shared" si="24"/>
        <v/>
      </c>
      <c r="L18" s="96" t="str">
        <f t="shared" si="25"/>
        <v/>
      </c>
      <c r="M18" s="99" t="str">
        <f t="shared" si="26"/>
        <v/>
      </c>
      <c r="N18" s="100" t="str">
        <f t="shared" si="27"/>
        <v/>
      </c>
      <c r="O18" s="339">
        <f t="shared" si="21"/>
        <v>6.7</v>
      </c>
      <c r="P18" s="131"/>
      <c r="Q18" s="102"/>
      <c r="R18" s="140"/>
      <c r="S18" s="140"/>
      <c r="T18" s="156" t="str">
        <f t="shared" si="8"/>
        <v/>
      </c>
      <c r="U18" s="157" t="str">
        <f t="shared" si="9"/>
        <v/>
      </c>
      <c r="V18" s="158" t="str">
        <f t="shared" si="10"/>
        <v/>
      </c>
      <c r="W18" s="310" t="str">
        <f t="shared" si="11"/>
        <v/>
      </c>
      <c r="X18" s="311" t="str">
        <f t="shared" si="12"/>
        <v/>
      </c>
      <c r="Y18" s="415" t="str">
        <f t="shared" si="13"/>
        <v/>
      </c>
      <c r="Z18" s="159" t="str">
        <f t="shared" si="14"/>
        <v/>
      </c>
      <c r="AA18" s="148"/>
      <c r="AB18" s="160">
        <f t="shared" si="16"/>
        <v>4</v>
      </c>
      <c r="AC18" s="155">
        <f t="shared" si="17"/>
        <v>5.333333333333333</v>
      </c>
      <c r="AD18" s="155">
        <f t="shared" si="18"/>
        <v>6.666666666666667</v>
      </c>
      <c r="AE18" s="155">
        <f t="shared" si="19"/>
        <v>8</v>
      </c>
      <c r="AF18" s="384">
        <f t="shared" si="20"/>
        <v>10.666666666666666</v>
      </c>
    </row>
    <row r="19" spans="1:32" ht="14" x14ac:dyDescent="0.2">
      <c r="A19" s="67"/>
      <c r="B19" s="92">
        <v>13</v>
      </c>
      <c r="C19" s="93"/>
      <c r="D19" s="94" t="str">
        <f t="shared" si="0"/>
        <v/>
      </c>
      <c r="E19" s="169" t="str">
        <f t="shared" si="22"/>
        <v/>
      </c>
      <c r="F19" s="287">
        <v>13</v>
      </c>
      <c r="G19" s="96"/>
      <c r="H19" s="93" t="str">
        <f t="shared" si="23"/>
        <v/>
      </c>
      <c r="I19" s="97" t="str">
        <f t="shared" si="15"/>
        <v/>
      </c>
      <c r="J19" s="95"/>
      <c r="K19" s="98" t="str">
        <f t="shared" si="24"/>
        <v/>
      </c>
      <c r="L19" s="96" t="str">
        <f t="shared" si="25"/>
        <v/>
      </c>
      <c r="M19" s="99" t="str">
        <f t="shared" si="26"/>
        <v/>
      </c>
      <c r="N19" s="100" t="str">
        <f t="shared" si="27"/>
        <v/>
      </c>
      <c r="O19" s="339">
        <f t="shared" si="21"/>
        <v>5</v>
      </c>
      <c r="P19" s="131"/>
      <c r="Q19" s="102"/>
      <c r="R19" s="140"/>
      <c r="S19" s="140"/>
      <c r="T19" s="156" t="str">
        <f t="shared" si="8"/>
        <v/>
      </c>
      <c r="U19" s="157" t="str">
        <f t="shared" si="9"/>
        <v/>
      </c>
      <c r="V19" s="158" t="str">
        <f t="shared" si="10"/>
        <v/>
      </c>
      <c r="W19" s="310" t="str">
        <f t="shared" si="11"/>
        <v/>
      </c>
      <c r="X19" s="311" t="str">
        <f t="shared" si="12"/>
        <v/>
      </c>
      <c r="Y19" s="415" t="str">
        <f t="shared" si="13"/>
        <v/>
      </c>
      <c r="Z19" s="159" t="str">
        <f t="shared" si="14"/>
        <v/>
      </c>
      <c r="AA19" s="148"/>
      <c r="AB19" s="160">
        <f t="shared" si="16"/>
        <v>3</v>
      </c>
      <c r="AC19" s="155">
        <f t="shared" si="17"/>
        <v>4</v>
      </c>
      <c r="AD19" s="155">
        <f t="shared" si="18"/>
        <v>5</v>
      </c>
      <c r="AE19" s="155">
        <f t="shared" si="19"/>
        <v>6</v>
      </c>
      <c r="AF19" s="384">
        <f t="shared" si="20"/>
        <v>8</v>
      </c>
    </row>
    <row r="20" spans="1:32" ht="14" x14ac:dyDescent="0.2">
      <c r="A20" s="67"/>
      <c r="B20" s="92">
        <v>14</v>
      </c>
      <c r="C20" s="93"/>
      <c r="D20" s="94" t="str">
        <f t="shared" si="0"/>
        <v/>
      </c>
      <c r="E20" s="169" t="str">
        <f t="shared" si="22"/>
        <v/>
      </c>
      <c r="F20" s="287">
        <v>14</v>
      </c>
      <c r="G20" s="96"/>
      <c r="H20" s="93" t="str">
        <f t="shared" si="23"/>
        <v/>
      </c>
      <c r="I20" s="97" t="str">
        <f t="shared" si="15"/>
        <v/>
      </c>
      <c r="J20" s="95"/>
      <c r="K20" s="98" t="str">
        <f t="shared" si="24"/>
        <v/>
      </c>
      <c r="L20" s="96" t="str">
        <f t="shared" si="25"/>
        <v/>
      </c>
      <c r="M20" s="99" t="str">
        <f t="shared" si="26"/>
        <v/>
      </c>
      <c r="N20" s="100" t="str">
        <f t="shared" si="27"/>
        <v/>
      </c>
      <c r="O20" s="339">
        <f t="shared" si="21"/>
        <v>3.3</v>
      </c>
      <c r="P20" s="167"/>
      <c r="Q20" s="102"/>
      <c r="R20" s="140"/>
      <c r="S20" s="140"/>
      <c r="T20" s="156" t="str">
        <f t="shared" si="8"/>
        <v/>
      </c>
      <c r="U20" s="157" t="str">
        <f t="shared" si="9"/>
        <v/>
      </c>
      <c r="V20" s="158" t="str">
        <f t="shared" si="10"/>
        <v/>
      </c>
      <c r="W20" s="310" t="str">
        <f t="shared" si="11"/>
        <v/>
      </c>
      <c r="X20" s="311" t="str">
        <f t="shared" si="12"/>
        <v/>
      </c>
      <c r="Y20" s="415" t="str">
        <f t="shared" si="13"/>
        <v/>
      </c>
      <c r="Z20" s="159" t="str">
        <f t="shared" si="14"/>
        <v/>
      </c>
      <c r="AA20" s="148"/>
      <c r="AB20" s="160">
        <f t="shared" si="16"/>
        <v>2</v>
      </c>
      <c r="AC20" s="155">
        <f t="shared" si="17"/>
        <v>2.6666666666666665</v>
      </c>
      <c r="AD20" s="155">
        <f t="shared" si="18"/>
        <v>3.3333333333333335</v>
      </c>
      <c r="AE20" s="155">
        <f t="shared" si="19"/>
        <v>4</v>
      </c>
      <c r="AF20" s="384">
        <f t="shared" si="20"/>
        <v>5.333333333333333</v>
      </c>
    </row>
    <row r="21" spans="1:32" ht="14" x14ac:dyDescent="0.2">
      <c r="A21" s="67"/>
      <c r="B21" s="103">
        <v>15</v>
      </c>
      <c r="C21" s="104"/>
      <c r="D21" s="105" t="str">
        <f t="shared" si="0"/>
        <v/>
      </c>
      <c r="E21" s="170" t="str">
        <f t="shared" si="22"/>
        <v/>
      </c>
      <c r="F21" s="288">
        <v>15</v>
      </c>
      <c r="G21" s="107"/>
      <c r="H21" s="108" t="str">
        <f t="shared" si="23"/>
        <v/>
      </c>
      <c r="I21" s="109" t="str">
        <f t="shared" si="15"/>
        <v/>
      </c>
      <c r="J21" s="110"/>
      <c r="K21" s="111" t="str">
        <f t="shared" si="24"/>
        <v/>
      </c>
      <c r="L21" s="112" t="str">
        <f t="shared" si="25"/>
        <v/>
      </c>
      <c r="M21" s="113" t="str">
        <f t="shared" si="26"/>
        <v/>
      </c>
      <c r="N21" s="114" t="str">
        <f t="shared" si="27"/>
        <v/>
      </c>
      <c r="O21" s="389">
        <f t="shared" si="21"/>
        <v>1.7</v>
      </c>
      <c r="P21" s="166"/>
      <c r="Q21" s="116"/>
      <c r="R21" s="140"/>
      <c r="S21" s="140"/>
      <c r="T21" s="156" t="str">
        <f t="shared" si="8"/>
        <v/>
      </c>
      <c r="U21" s="157" t="str">
        <f t="shared" si="9"/>
        <v/>
      </c>
      <c r="V21" s="158" t="str">
        <f t="shared" si="10"/>
        <v/>
      </c>
      <c r="W21" s="310" t="str">
        <f t="shared" si="11"/>
        <v/>
      </c>
      <c r="X21" s="311" t="str">
        <f t="shared" si="12"/>
        <v/>
      </c>
      <c r="Y21" s="415" t="str">
        <f t="shared" si="13"/>
        <v/>
      </c>
      <c r="Z21" s="159" t="str">
        <f t="shared" si="14"/>
        <v/>
      </c>
      <c r="AA21" s="148"/>
      <c r="AB21" s="160">
        <f t="shared" si="16"/>
        <v>1</v>
      </c>
      <c r="AC21" s="155">
        <f t="shared" si="17"/>
        <v>1.3333333333333333</v>
      </c>
      <c r="AD21" s="155">
        <f t="shared" si="18"/>
        <v>1.6666666666666667</v>
      </c>
      <c r="AE21" s="155">
        <f t="shared" si="19"/>
        <v>2</v>
      </c>
      <c r="AF21" s="384">
        <f t="shared" si="20"/>
        <v>2.6666666666666665</v>
      </c>
    </row>
    <row r="22" spans="1:32" ht="14" x14ac:dyDescent="0.2">
      <c r="A22" s="67"/>
      <c r="B22" s="129"/>
      <c r="C22" s="83"/>
      <c r="D22" s="134" t="str">
        <f t="shared" si="0"/>
        <v/>
      </c>
      <c r="E22" s="168" t="str">
        <f t="shared" si="22"/>
        <v/>
      </c>
      <c r="F22" s="289"/>
      <c r="G22" s="86"/>
      <c r="H22" s="83" t="str">
        <f t="shared" si="23"/>
        <v/>
      </c>
      <c r="I22" s="87" t="str">
        <f t="shared" si="15"/>
        <v/>
      </c>
      <c r="J22" s="85"/>
      <c r="K22" s="88" t="str">
        <f t="shared" si="24"/>
        <v/>
      </c>
      <c r="L22" s="86" t="str">
        <f t="shared" si="25"/>
        <v/>
      </c>
      <c r="M22" s="89" t="str">
        <f t="shared" si="26"/>
        <v/>
      </c>
      <c r="N22" s="90" t="str">
        <f t="shared" si="27"/>
        <v/>
      </c>
      <c r="O22" s="155" t="e">
        <f t="shared" si="21"/>
        <v>#VALUE!</v>
      </c>
      <c r="P22" s="172"/>
      <c r="Q22" s="130"/>
      <c r="R22" s="140"/>
      <c r="S22" s="140"/>
      <c r="T22" s="156" t="str">
        <f t="shared" si="8"/>
        <v/>
      </c>
      <c r="U22" s="157" t="str">
        <f t="shared" si="9"/>
        <v/>
      </c>
      <c r="V22" s="158" t="str">
        <f t="shared" si="10"/>
        <v/>
      </c>
      <c r="W22" s="310" t="str">
        <f t="shared" si="11"/>
        <v/>
      </c>
      <c r="X22" s="311" t="str">
        <f t="shared" si="12"/>
        <v/>
      </c>
      <c r="Y22" s="415" t="str">
        <f t="shared" si="13"/>
        <v/>
      </c>
      <c r="Z22" s="159" t="str">
        <f t="shared" si="14"/>
        <v/>
      </c>
      <c r="AA22" s="148"/>
      <c r="AB22" s="160" t="str">
        <f t="shared" si="16"/>
        <v/>
      </c>
      <c r="AC22" s="155" t="str">
        <f t="shared" si="17"/>
        <v/>
      </c>
      <c r="AD22" s="155" t="str">
        <f t="shared" si="18"/>
        <v/>
      </c>
      <c r="AE22" s="155" t="str">
        <f t="shared" si="19"/>
        <v/>
      </c>
      <c r="AF22" s="384" t="str">
        <f t="shared" si="20"/>
        <v/>
      </c>
    </row>
    <row r="23" spans="1:32" ht="14" x14ac:dyDescent="0.2">
      <c r="A23" s="67"/>
      <c r="B23" s="92"/>
      <c r="C23" s="93"/>
      <c r="D23" s="94" t="str">
        <f t="shared" si="0"/>
        <v/>
      </c>
      <c r="E23" s="169" t="str">
        <f t="shared" si="22"/>
        <v/>
      </c>
      <c r="F23" s="287"/>
      <c r="G23" s="96"/>
      <c r="H23" s="93" t="str">
        <f t="shared" si="23"/>
        <v/>
      </c>
      <c r="I23" s="97" t="str">
        <f t="shared" si="15"/>
        <v/>
      </c>
      <c r="J23" s="95"/>
      <c r="K23" s="98" t="str">
        <f t="shared" si="24"/>
        <v/>
      </c>
      <c r="L23" s="96" t="str">
        <f t="shared" si="25"/>
        <v/>
      </c>
      <c r="M23" s="99" t="str">
        <f t="shared" si="26"/>
        <v/>
      </c>
      <c r="N23" s="100" t="str">
        <f t="shared" si="27"/>
        <v/>
      </c>
      <c r="O23" s="155" t="e">
        <f t="shared" si="21"/>
        <v>#VALUE!</v>
      </c>
      <c r="P23" s="131"/>
      <c r="Q23" s="102"/>
      <c r="R23" s="140"/>
      <c r="S23" s="140"/>
      <c r="T23" s="156" t="str">
        <f t="shared" si="8"/>
        <v/>
      </c>
      <c r="U23" s="157" t="str">
        <f t="shared" si="9"/>
        <v/>
      </c>
      <c r="V23" s="158" t="str">
        <f t="shared" si="10"/>
        <v/>
      </c>
      <c r="W23" s="310" t="str">
        <f t="shared" si="11"/>
        <v/>
      </c>
      <c r="X23" s="311" t="str">
        <f t="shared" si="12"/>
        <v/>
      </c>
      <c r="Y23" s="415" t="str">
        <f t="shared" si="13"/>
        <v/>
      </c>
      <c r="Z23" s="159" t="str">
        <f t="shared" si="14"/>
        <v/>
      </c>
      <c r="AA23" s="148"/>
      <c r="AB23" s="160" t="str">
        <f t="shared" si="16"/>
        <v/>
      </c>
      <c r="AC23" s="155" t="str">
        <f t="shared" si="17"/>
        <v/>
      </c>
      <c r="AD23" s="155" t="str">
        <f t="shared" si="18"/>
        <v/>
      </c>
      <c r="AE23" s="155" t="str">
        <f t="shared" si="19"/>
        <v/>
      </c>
      <c r="AF23" s="384" t="str">
        <f t="shared" si="20"/>
        <v/>
      </c>
    </row>
    <row r="24" spans="1:32" ht="14" x14ac:dyDescent="0.2">
      <c r="A24" s="67"/>
      <c r="B24" s="129"/>
      <c r="C24" s="93"/>
      <c r="D24" s="94" t="str">
        <f t="shared" si="0"/>
        <v/>
      </c>
      <c r="E24" s="169" t="str">
        <f t="shared" si="22"/>
        <v/>
      </c>
      <c r="F24" s="95"/>
      <c r="G24" s="96"/>
      <c r="H24" s="93" t="str">
        <f t="shared" si="23"/>
        <v/>
      </c>
      <c r="I24" s="97" t="str">
        <f t="shared" si="15"/>
        <v/>
      </c>
      <c r="J24" s="95"/>
      <c r="K24" s="98" t="str">
        <f t="shared" si="24"/>
        <v/>
      </c>
      <c r="L24" s="96" t="str">
        <f t="shared" si="25"/>
        <v/>
      </c>
      <c r="M24" s="99" t="str">
        <f t="shared" si="26"/>
        <v/>
      </c>
      <c r="N24" s="100" t="str">
        <f t="shared" si="27"/>
        <v/>
      </c>
      <c r="O24" s="155" t="e">
        <f t="shared" si="21"/>
        <v>#VALUE!</v>
      </c>
      <c r="P24" s="132"/>
      <c r="Q24" s="102"/>
      <c r="R24" s="140"/>
      <c r="S24" s="140"/>
      <c r="T24" s="156" t="str">
        <f t="shared" si="8"/>
        <v/>
      </c>
      <c r="U24" s="157" t="str">
        <f t="shared" si="9"/>
        <v/>
      </c>
      <c r="V24" s="158" t="str">
        <f t="shared" si="10"/>
        <v/>
      </c>
      <c r="W24" s="310" t="str">
        <f t="shared" si="11"/>
        <v/>
      </c>
      <c r="X24" s="311" t="str">
        <f t="shared" si="12"/>
        <v/>
      </c>
      <c r="Y24" s="415" t="str">
        <f t="shared" si="13"/>
        <v/>
      </c>
      <c r="Z24" s="159" t="str">
        <f t="shared" si="14"/>
        <v/>
      </c>
      <c r="AA24" s="148"/>
      <c r="AB24" s="160" t="str">
        <f t="shared" si="16"/>
        <v/>
      </c>
      <c r="AC24" s="155" t="str">
        <f t="shared" si="17"/>
        <v/>
      </c>
      <c r="AD24" s="155" t="str">
        <f t="shared" si="18"/>
        <v/>
      </c>
      <c r="AE24" s="155" t="str">
        <f t="shared" si="19"/>
        <v/>
      </c>
      <c r="AF24" s="384" t="str">
        <f t="shared" si="20"/>
        <v/>
      </c>
    </row>
    <row r="25" spans="1:32" ht="14" x14ac:dyDescent="0.2">
      <c r="A25" s="67"/>
      <c r="B25" s="92"/>
      <c r="C25" s="93"/>
      <c r="D25" s="94" t="str">
        <f t="shared" si="0"/>
        <v/>
      </c>
      <c r="E25" s="169" t="str">
        <f t="shared" si="22"/>
        <v/>
      </c>
      <c r="F25" s="95"/>
      <c r="G25" s="96"/>
      <c r="H25" s="93" t="str">
        <f t="shared" si="23"/>
        <v/>
      </c>
      <c r="I25" s="97" t="str">
        <f t="shared" si="15"/>
        <v/>
      </c>
      <c r="J25" s="95"/>
      <c r="K25" s="98" t="str">
        <f t="shared" si="24"/>
        <v/>
      </c>
      <c r="L25" s="96" t="str">
        <f t="shared" si="25"/>
        <v/>
      </c>
      <c r="M25" s="99" t="str">
        <f t="shared" si="26"/>
        <v/>
      </c>
      <c r="N25" s="100" t="str">
        <f t="shared" si="27"/>
        <v/>
      </c>
      <c r="O25" s="155" t="e">
        <f t="shared" si="21"/>
        <v>#VALUE!</v>
      </c>
      <c r="P25" s="132"/>
      <c r="Q25" s="102"/>
      <c r="R25" s="140"/>
      <c r="S25" s="140"/>
      <c r="T25" s="156" t="str">
        <f t="shared" si="8"/>
        <v/>
      </c>
      <c r="U25" s="157" t="str">
        <f t="shared" si="9"/>
        <v/>
      </c>
      <c r="V25" s="158" t="str">
        <f t="shared" si="10"/>
        <v/>
      </c>
      <c r="W25" s="310" t="str">
        <f t="shared" si="11"/>
        <v/>
      </c>
      <c r="X25" s="311" t="str">
        <f t="shared" si="12"/>
        <v/>
      </c>
      <c r="Y25" s="415" t="str">
        <f t="shared" si="13"/>
        <v/>
      </c>
      <c r="Z25" s="159" t="str">
        <f t="shared" si="14"/>
        <v/>
      </c>
      <c r="AA25" s="148"/>
      <c r="AB25" s="160" t="str">
        <f t="shared" si="16"/>
        <v/>
      </c>
      <c r="AC25" s="155" t="str">
        <f t="shared" si="17"/>
        <v/>
      </c>
      <c r="AD25" s="155" t="str">
        <f t="shared" si="18"/>
        <v/>
      </c>
      <c r="AE25" s="155" t="str">
        <f t="shared" si="19"/>
        <v/>
      </c>
      <c r="AF25" s="384" t="str">
        <f t="shared" si="20"/>
        <v/>
      </c>
    </row>
    <row r="26" spans="1:32" ht="14" x14ac:dyDescent="0.2">
      <c r="A26" s="67"/>
      <c r="B26" s="103"/>
      <c r="C26" s="104"/>
      <c r="D26" s="105" t="str">
        <f t="shared" si="0"/>
        <v/>
      </c>
      <c r="E26" s="170" t="str">
        <f t="shared" si="22"/>
        <v/>
      </c>
      <c r="F26" s="106"/>
      <c r="G26" s="107"/>
      <c r="H26" s="108" t="str">
        <f t="shared" si="23"/>
        <v/>
      </c>
      <c r="I26" s="109" t="str">
        <f t="shared" si="15"/>
        <v/>
      </c>
      <c r="J26" s="110"/>
      <c r="K26" s="111" t="str">
        <f t="shared" si="24"/>
        <v/>
      </c>
      <c r="L26" s="112" t="str">
        <f t="shared" si="25"/>
        <v/>
      </c>
      <c r="M26" s="113" t="str">
        <f t="shared" si="26"/>
        <v/>
      </c>
      <c r="N26" s="114" t="str">
        <f t="shared" si="27"/>
        <v/>
      </c>
      <c r="O26" s="155" t="e">
        <f t="shared" si="21"/>
        <v>#VALUE!</v>
      </c>
      <c r="P26" s="133"/>
      <c r="Q26" s="116"/>
      <c r="R26" s="140"/>
      <c r="S26" s="140"/>
      <c r="T26" s="156" t="str">
        <f t="shared" si="8"/>
        <v/>
      </c>
      <c r="U26" s="157" t="str">
        <f t="shared" si="9"/>
        <v/>
      </c>
      <c r="V26" s="158" t="str">
        <f t="shared" si="10"/>
        <v/>
      </c>
      <c r="W26" s="310" t="str">
        <f t="shared" si="11"/>
        <v/>
      </c>
      <c r="X26" s="311" t="str">
        <f t="shared" si="12"/>
        <v/>
      </c>
      <c r="Y26" s="415" t="str">
        <f t="shared" si="13"/>
        <v/>
      </c>
      <c r="Z26" s="159" t="str">
        <f t="shared" si="14"/>
        <v/>
      </c>
      <c r="AA26" s="148"/>
      <c r="AB26" s="160" t="str">
        <f t="shared" si="16"/>
        <v/>
      </c>
      <c r="AC26" s="155" t="str">
        <f t="shared" si="17"/>
        <v/>
      </c>
      <c r="AD26" s="155" t="str">
        <f t="shared" si="18"/>
        <v/>
      </c>
      <c r="AE26" s="155" t="str">
        <f t="shared" si="19"/>
        <v/>
      </c>
      <c r="AF26" s="384" t="str">
        <f t="shared" si="20"/>
        <v/>
      </c>
    </row>
    <row r="27" spans="1:32" ht="14" x14ac:dyDescent="0.2">
      <c r="A27" s="67"/>
      <c r="B27" s="129"/>
      <c r="C27" s="122"/>
      <c r="D27" s="134" t="str">
        <f t="shared" si="0"/>
        <v/>
      </c>
      <c r="E27" s="124"/>
      <c r="F27" s="124"/>
      <c r="G27" s="126"/>
      <c r="H27" s="83" t="str">
        <f>IFERROR(IF(G27-$Q$2&lt;=0,"",(G27-$Q$2)*86400),"")</f>
        <v/>
      </c>
      <c r="I27" s="87" t="str">
        <f t="shared" si="15"/>
        <v/>
      </c>
      <c r="J27" s="85"/>
      <c r="K27" s="88" t="str">
        <f>IFERROR(H27*(1+0.01*J27)-I27*$N$3,"")</f>
        <v/>
      </c>
      <c r="L27" s="86" t="str">
        <f>IFERROR((K27-$K$7)/86400,"")</f>
        <v/>
      </c>
      <c r="M27" s="89" t="str">
        <f>IFERROR((K27-$K$7)/$N$3,"")</f>
        <v/>
      </c>
      <c r="N27" s="90" t="str">
        <f>IFERROR($N$3/(H27/3600),"")</f>
        <v/>
      </c>
      <c r="O27" s="155" t="e">
        <f t="shared" si="21"/>
        <v>#VALUE!</v>
      </c>
      <c r="P27" s="135"/>
      <c r="Q27" s="130"/>
      <c r="R27" s="140"/>
      <c r="S27" s="140"/>
      <c r="T27" s="156" t="str">
        <f t="shared" si="8"/>
        <v/>
      </c>
      <c r="U27" s="157" t="str">
        <f t="shared" si="9"/>
        <v/>
      </c>
      <c r="V27" s="158" t="str">
        <f t="shared" si="10"/>
        <v/>
      </c>
      <c r="W27" s="310" t="str">
        <f t="shared" si="11"/>
        <v/>
      </c>
      <c r="X27" s="311" t="str">
        <f t="shared" si="12"/>
        <v/>
      </c>
      <c r="Y27" s="415" t="str">
        <f t="shared" si="13"/>
        <v/>
      </c>
      <c r="Z27" s="159" t="str">
        <f t="shared" si="14"/>
        <v/>
      </c>
      <c r="AA27" s="148"/>
      <c r="AB27" s="160" t="str">
        <f t="shared" si="16"/>
        <v/>
      </c>
      <c r="AC27" s="155" t="str">
        <f t="shared" si="17"/>
        <v/>
      </c>
      <c r="AD27" s="155" t="str">
        <f t="shared" si="18"/>
        <v/>
      </c>
      <c r="AE27" s="380" t="str">
        <f t="shared" ref="AE27:AE31" si="28">IF(ISBLANK(C27),"",IFERROR(30*($P$3-$B27)/($P$3-1)+10,"30.0"))</f>
        <v/>
      </c>
      <c r="AF27" s="384" t="str">
        <f t="shared" si="20"/>
        <v/>
      </c>
    </row>
    <row r="28" spans="1:32" ht="14.25" customHeight="1" x14ac:dyDescent="0.2">
      <c r="A28" s="67"/>
      <c r="B28" s="92"/>
      <c r="C28" s="93"/>
      <c r="D28" s="94" t="str">
        <f t="shared" si="0"/>
        <v/>
      </c>
      <c r="E28" s="95"/>
      <c r="F28" s="95"/>
      <c r="G28" s="96"/>
      <c r="H28" s="93"/>
      <c r="I28" s="97" t="str">
        <f t="shared" si="15"/>
        <v/>
      </c>
      <c r="J28" s="95"/>
      <c r="K28" s="98"/>
      <c r="L28" s="96"/>
      <c r="M28" s="99"/>
      <c r="N28" s="100"/>
      <c r="O28" s="155" t="e">
        <f t="shared" si="21"/>
        <v>#VALUE!</v>
      </c>
      <c r="P28" s="136"/>
      <c r="Q28" s="102"/>
      <c r="R28" s="140"/>
      <c r="S28" s="140"/>
      <c r="T28" s="156" t="str">
        <f t="shared" si="8"/>
        <v/>
      </c>
      <c r="U28" s="157" t="str">
        <f t="shared" si="9"/>
        <v/>
      </c>
      <c r="V28" s="158" t="str">
        <f t="shared" si="10"/>
        <v/>
      </c>
      <c r="W28" s="310" t="str">
        <f t="shared" si="11"/>
        <v/>
      </c>
      <c r="X28" s="311" t="str">
        <f t="shared" si="12"/>
        <v/>
      </c>
      <c r="Y28" s="415" t="str">
        <f t="shared" si="13"/>
        <v/>
      </c>
      <c r="Z28" s="159" t="str">
        <f t="shared" si="14"/>
        <v/>
      </c>
      <c r="AA28" s="148"/>
      <c r="AB28" s="160" t="str">
        <f t="shared" si="16"/>
        <v/>
      </c>
      <c r="AC28" s="155" t="str">
        <f t="shared" si="17"/>
        <v/>
      </c>
      <c r="AD28" s="155" t="str">
        <f t="shared" si="18"/>
        <v/>
      </c>
      <c r="AE28" s="380" t="str">
        <f t="shared" si="28"/>
        <v/>
      </c>
      <c r="AF28" s="384" t="str">
        <f t="shared" si="20"/>
        <v/>
      </c>
    </row>
    <row r="29" spans="1:32" ht="14" x14ac:dyDescent="0.2">
      <c r="A29" s="67"/>
      <c r="B29" s="92"/>
      <c r="C29" s="93"/>
      <c r="D29" s="94" t="str">
        <f t="shared" si="0"/>
        <v/>
      </c>
      <c r="E29" s="95"/>
      <c r="F29" s="95"/>
      <c r="G29" s="96"/>
      <c r="H29" s="93"/>
      <c r="I29" s="97" t="str">
        <f t="shared" si="15"/>
        <v/>
      </c>
      <c r="J29" s="95"/>
      <c r="K29" s="98"/>
      <c r="L29" s="96"/>
      <c r="M29" s="99"/>
      <c r="N29" s="100"/>
      <c r="O29" s="155" t="e">
        <f t="shared" si="21"/>
        <v>#VALUE!</v>
      </c>
      <c r="P29" s="132"/>
      <c r="Q29" s="102"/>
      <c r="R29" s="140"/>
      <c r="S29" s="140"/>
      <c r="T29" s="156" t="str">
        <f t="shared" si="8"/>
        <v/>
      </c>
      <c r="U29" s="157" t="str">
        <f t="shared" si="9"/>
        <v/>
      </c>
      <c r="V29" s="158" t="str">
        <f t="shared" si="10"/>
        <v/>
      </c>
      <c r="W29" s="310" t="str">
        <f t="shared" si="11"/>
        <v/>
      </c>
      <c r="X29" s="311" t="str">
        <f t="shared" si="12"/>
        <v/>
      </c>
      <c r="Y29" s="415" t="str">
        <f t="shared" si="13"/>
        <v/>
      </c>
      <c r="Z29" s="159" t="str">
        <f t="shared" si="14"/>
        <v/>
      </c>
      <c r="AA29" s="148"/>
      <c r="AB29" s="160" t="str">
        <f t="shared" si="16"/>
        <v/>
      </c>
      <c r="AC29" s="155" t="str">
        <f t="shared" si="17"/>
        <v/>
      </c>
      <c r="AD29" s="155" t="str">
        <f t="shared" si="18"/>
        <v/>
      </c>
      <c r="AE29" s="380" t="str">
        <f t="shared" si="28"/>
        <v/>
      </c>
      <c r="AF29" s="384" t="str">
        <f t="shared" si="20"/>
        <v/>
      </c>
    </row>
    <row r="30" spans="1:32" ht="14.25" customHeight="1" x14ac:dyDescent="0.2">
      <c r="A30" s="67"/>
      <c r="B30" s="92"/>
      <c r="C30" s="93"/>
      <c r="D30" s="94" t="str">
        <f t="shared" si="0"/>
        <v/>
      </c>
      <c r="E30" s="95"/>
      <c r="F30" s="95"/>
      <c r="G30" s="96"/>
      <c r="H30" s="93"/>
      <c r="I30" s="97" t="str">
        <f t="shared" si="15"/>
        <v/>
      </c>
      <c r="J30" s="95"/>
      <c r="K30" s="98"/>
      <c r="L30" s="96"/>
      <c r="M30" s="99"/>
      <c r="N30" s="100"/>
      <c r="O30" s="155" t="e">
        <f t="shared" si="21"/>
        <v>#VALUE!</v>
      </c>
      <c r="P30" s="132"/>
      <c r="Q30" s="102"/>
      <c r="R30" s="140"/>
      <c r="S30" s="140"/>
      <c r="T30" s="156" t="str">
        <f t="shared" si="8"/>
        <v/>
      </c>
      <c r="U30" s="157" t="str">
        <f t="shared" si="9"/>
        <v/>
      </c>
      <c r="V30" s="158" t="str">
        <f t="shared" si="10"/>
        <v/>
      </c>
      <c r="W30" s="310" t="str">
        <f t="shared" si="11"/>
        <v/>
      </c>
      <c r="X30" s="311" t="str">
        <f t="shared" si="12"/>
        <v/>
      </c>
      <c r="Y30" s="415" t="str">
        <f t="shared" si="13"/>
        <v/>
      </c>
      <c r="Z30" s="159" t="str">
        <f t="shared" si="14"/>
        <v/>
      </c>
      <c r="AA30" s="148"/>
      <c r="AB30" s="160" t="str">
        <f t="shared" si="16"/>
        <v/>
      </c>
      <c r="AC30" s="155" t="str">
        <f t="shared" si="17"/>
        <v/>
      </c>
      <c r="AD30" s="155" t="str">
        <f t="shared" si="18"/>
        <v/>
      </c>
      <c r="AE30" s="380" t="str">
        <f t="shared" si="28"/>
        <v/>
      </c>
      <c r="AF30" s="384" t="str">
        <f t="shared" si="20"/>
        <v/>
      </c>
    </row>
    <row r="31" spans="1:32" ht="14.5" thickBot="1" x14ac:dyDescent="0.25">
      <c r="A31" s="67"/>
      <c r="B31" s="92"/>
      <c r="C31" s="93"/>
      <c r="D31" s="105" t="str">
        <f t="shared" si="0"/>
        <v/>
      </c>
      <c r="E31" s="106"/>
      <c r="F31" s="95"/>
      <c r="G31" s="96"/>
      <c r="H31" s="104" t="str">
        <f>IFERROR(IF(G31-$Q$2&lt;=0,"",(G31-$Q$2)*86400),"")</f>
        <v/>
      </c>
      <c r="I31" s="117" t="str">
        <f t="shared" si="15"/>
        <v/>
      </c>
      <c r="J31" s="106"/>
      <c r="K31" s="119" t="str">
        <f>IFERROR(H31*(1+0.01*J31)-I31*$N$3,"")</f>
        <v/>
      </c>
      <c r="L31" s="107" t="str">
        <f>IFERROR((K31-$K$7)/86400,"")</f>
        <v/>
      </c>
      <c r="M31" s="120" t="str">
        <f>IFERROR((K31-$K$7)/$N$3,"")</f>
        <v/>
      </c>
      <c r="N31" s="121" t="str">
        <f>IFERROR($N$3/(H31/3600),"")</f>
        <v/>
      </c>
      <c r="O31" s="155" t="e">
        <f t="shared" si="21"/>
        <v>#VALUE!</v>
      </c>
      <c r="P31" s="133"/>
      <c r="Q31" s="116"/>
      <c r="R31" s="140"/>
      <c r="S31" s="140"/>
      <c r="T31" s="161" t="str">
        <f t="shared" si="8"/>
        <v/>
      </c>
      <c r="U31" s="162" t="str">
        <f t="shared" si="9"/>
        <v/>
      </c>
      <c r="V31" s="163" t="str">
        <f t="shared" si="10"/>
        <v/>
      </c>
      <c r="W31" s="312" t="str">
        <f t="shared" si="11"/>
        <v/>
      </c>
      <c r="X31" s="313" t="str">
        <f t="shared" si="12"/>
        <v/>
      </c>
      <c r="Y31" s="416" t="str">
        <f t="shared" si="13"/>
        <v/>
      </c>
      <c r="Z31" s="314" t="str">
        <f t="shared" si="14"/>
        <v/>
      </c>
      <c r="AA31" s="148"/>
      <c r="AB31" s="385" t="str">
        <f t="shared" ref="AB31" si="29">IF(ISBLANK(B31),"",IFERROR(15*($P$3+1-$B31)/$P$3,"15.0"))</f>
        <v/>
      </c>
      <c r="AC31" s="386" t="str">
        <f t="shared" ref="AC31" si="30">IF(ISBLANK(B31),"",IFERROR(20*($P$3+1-$B31)/$P$3,"20.0"))</f>
        <v/>
      </c>
      <c r="AD31" s="386" t="str">
        <f t="shared" ref="AD31" si="31">IF(ISBLANK(B31),"",IFERROR(25*($P$3+1-$B31)/$P$3,"25.0"))</f>
        <v/>
      </c>
      <c r="AE31" s="381" t="str">
        <f t="shared" si="28"/>
        <v/>
      </c>
      <c r="AF31" s="387" t="str">
        <f t="shared" si="20"/>
        <v/>
      </c>
    </row>
    <row r="32" spans="1:32" ht="15" customHeight="1" x14ac:dyDescent="0.25">
      <c r="A32" s="67"/>
      <c r="B32" s="568" t="s">
        <v>176</v>
      </c>
      <c r="C32" s="569"/>
      <c r="D32" s="570"/>
      <c r="E32" s="137" t="s">
        <v>137</v>
      </c>
      <c r="F32" s="602" t="s">
        <v>211</v>
      </c>
      <c r="G32" s="559"/>
      <c r="H32" s="579" t="s">
        <v>226</v>
      </c>
      <c r="I32" s="580"/>
      <c r="J32" s="580"/>
      <c r="K32" s="580"/>
      <c r="L32" s="580"/>
      <c r="M32" s="580"/>
      <c r="N32" s="580"/>
      <c r="O32" s="580"/>
      <c r="P32" s="580"/>
      <c r="Q32" s="581"/>
      <c r="R32" s="262"/>
      <c r="S32" s="59"/>
      <c r="T32" s="143"/>
      <c r="U32" s="143"/>
      <c r="V32" s="143"/>
      <c r="Y32" s="143"/>
      <c r="Z32" s="143"/>
      <c r="AA32" s="143"/>
    </row>
    <row r="33" spans="1:32" ht="15" customHeight="1" x14ac:dyDescent="0.25">
      <c r="A33" s="67"/>
      <c r="B33" s="571"/>
      <c r="C33" s="572"/>
      <c r="D33" s="573"/>
      <c r="E33" s="138" t="s">
        <v>138</v>
      </c>
      <c r="F33" s="560" t="s">
        <v>212</v>
      </c>
      <c r="G33" s="561"/>
      <c r="H33" s="582"/>
      <c r="I33" s="583"/>
      <c r="J33" s="583"/>
      <c r="K33" s="583"/>
      <c r="L33" s="583"/>
      <c r="M33" s="583"/>
      <c r="N33" s="583"/>
      <c r="O33" s="583"/>
      <c r="P33" s="583"/>
      <c r="Q33" s="584"/>
      <c r="R33" s="262"/>
      <c r="S33" s="59"/>
      <c r="T33" s="143"/>
      <c r="U33" s="143"/>
      <c r="V33" s="143"/>
      <c r="Y33" s="143"/>
      <c r="Z33" s="143"/>
      <c r="AA33" s="143"/>
      <c r="AB33" s="454" t="s">
        <v>270</v>
      </c>
      <c r="AC33" s="454"/>
      <c r="AD33" s="454"/>
      <c r="AE33" s="454"/>
      <c r="AF33" s="454"/>
    </row>
    <row r="34" spans="1:32" ht="23.25" customHeight="1" x14ac:dyDescent="0.25">
      <c r="A34" s="67"/>
      <c r="B34" s="574"/>
      <c r="C34" s="575"/>
      <c r="D34" s="576"/>
      <c r="E34" s="138" t="s">
        <v>139</v>
      </c>
      <c r="F34" s="560" t="s">
        <v>213</v>
      </c>
      <c r="G34" s="561"/>
      <c r="H34" s="582"/>
      <c r="I34" s="583"/>
      <c r="J34" s="583"/>
      <c r="K34" s="583"/>
      <c r="L34" s="583"/>
      <c r="M34" s="583"/>
      <c r="N34" s="583"/>
      <c r="O34" s="583"/>
      <c r="P34" s="583"/>
      <c r="Q34" s="584"/>
      <c r="R34" s="262"/>
      <c r="S34" s="59"/>
      <c r="T34" s="143"/>
      <c r="U34" s="143"/>
      <c r="V34" s="143"/>
      <c r="Y34" s="143"/>
      <c r="Z34" s="143"/>
      <c r="AA34" s="143"/>
    </row>
    <row r="35" spans="1:32" ht="22.5" customHeight="1" x14ac:dyDescent="0.25">
      <c r="A35" s="67"/>
      <c r="B35" s="590" t="s">
        <v>177</v>
      </c>
      <c r="C35" s="591"/>
      <c r="D35" s="592"/>
      <c r="E35" s="562" t="s">
        <v>141</v>
      </c>
      <c r="F35" s="560" t="str">
        <f>参照ﾃﾞｰﾀ!AB6</f>
        <v>ふるたか</v>
      </c>
      <c r="G35" s="561"/>
      <c r="H35" s="582"/>
      <c r="I35" s="583"/>
      <c r="J35" s="583"/>
      <c r="K35" s="583"/>
      <c r="L35" s="583"/>
      <c r="M35" s="583"/>
      <c r="N35" s="583"/>
      <c r="O35" s="583"/>
      <c r="P35" s="583"/>
      <c r="Q35" s="584"/>
      <c r="R35" s="262"/>
      <c r="S35" s="59"/>
      <c r="T35" s="143"/>
      <c r="U35" s="143"/>
      <c r="V35" s="143"/>
      <c r="Y35" s="143"/>
      <c r="Z35" s="143"/>
      <c r="AA35" s="143"/>
    </row>
    <row r="36" spans="1:32" ht="15" customHeight="1" x14ac:dyDescent="0.25">
      <c r="A36" s="67"/>
      <c r="B36" s="593"/>
      <c r="C36" s="594"/>
      <c r="D36" s="595"/>
      <c r="E36" s="601"/>
      <c r="F36" s="560"/>
      <c r="G36" s="561"/>
      <c r="H36" s="582"/>
      <c r="I36" s="583"/>
      <c r="J36" s="583"/>
      <c r="K36" s="583"/>
      <c r="L36" s="583"/>
      <c r="M36" s="583"/>
      <c r="N36" s="583"/>
      <c r="O36" s="583"/>
      <c r="P36" s="583"/>
      <c r="Q36" s="584"/>
      <c r="R36" s="262"/>
      <c r="S36" s="59"/>
      <c r="T36" s="143"/>
      <c r="U36" s="143"/>
      <c r="V36" s="143"/>
      <c r="Y36" s="143"/>
      <c r="Z36" s="143"/>
      <c r="AA36" s="143"/>
    </row>
    <row r="37" spans="1:32" ht="15" customHeight="1" x14ac:dyDescent="0.25">
      <c r="A37" s="67"/>
      <c r="B37" s="593"/>
      <c r="C37" s="594"/>
      <c r="D37" s="595"/>
      <c r="E37" s="137" t="s">
        <v>140</v>
      </c>
      <c r="F37" s="558">
        <f>参照ﾃﾞｰﾀ!J7</f>
        <v>46131</v>
      </c>
      <c r="G37" s="559"/>
      <c r="H37" s="582"/>
      <c r="I37" s="583"/>
      <c r="J37" s="583"/>
      <c r="K37" s="583"/>
      <c r="L37" s="583"/>
      <c r="M37" s="583"/>
      <c r="N37" s="583"/>
      <c r="O37" s="583"/>
      <c r="P37" s="583"/>
      <c r="Q37" s="584"/>
      <c r="R37" s="262"/>
      <c r="S37" s="59"/>
      <c r="T37" s="143"/>
      <c r="U37" s="143"/>
      <c r="V37" s="143"/>
      <c r="Y37" s="143"/>
      <c r="Z37" s="143"/>
      <c r="AA37" s="143"/>
    </row>
    <row r="38" spans="1:32" ht="15" customHeight="1" x14ac:dyDescent="0.25">
      <c r="A38" s="67"/>
      <c r="B38" s="593"/>
      <c r="C38" s="594"/>
      <c r="D38" s="595"/>
      <c r="E38" s="138" t="s">
        <v>153</v>
      </c>
      <c r="F38" s="560" t="str">
        <f>参照ﾃﾞｰﾀ!AA7</f>
        <v>E</v>
      </c>
      <c r="G38" s="561"/>
      <c r="H38" s="582"/>
      <c r="I38" s="583"/>
      <c r="J38" s="583"/>
      <c r="K38" s="583"/>
      <c r="L38" s="583"/>
      <c r="M38" s="583"/>
      <c r="N38" s="583"/>
      <c r="O38" s="583"/>
      <c r="P38" s="583"/>
      <c r="Q38" s="584"/>
      <c r="R38" s="262"/>
      <c r="S38" s="59"/>
      <c r="T38" s="143"/>
      <c r="U38" s="143"/>
      <c r="V38" s="143"/>
      <c r="Y38" s="143"/>
      <c r="Z38" s="143"/>
      <c r="AA38" s="143"/>
    </row>
    <row r="39" spans="1:32" ht="15" customHeight="1" x14ac:dyDescent="0.25">
      <c r="A39" s="67"/>
      <c r="B39" s="593"/>
      <c r="C39" s="594"/>
      <c r="D39" s="595"/>
      <c r="E39" s="562" t="s">
        <v>141</v>
      </c>
      <c r="F39" s="560" t="str">
        <f>参照ﾃﾞｰﾀ!AB7</f>
        <v>ネプチューン</v>
      </c>
      <c r="G39" s="561"/>
      <c r="H39" s="582"/>
      <c r="I39" s="583"/>
      <c r="J39" s="583"/>
      <c r="K39" s="583"/>
      <c r="L39" s="583"/>
      <c r="M39" s="583"/>
      <c r="N39" s="583"/>
      <c r="O39" s="583"/>
      <c r="P39" s="583"/>
      <c r="Q39" s="584"/>
      <c r="R39" s="262"/>
      <c r="S39" s="59"/>
      <c r="T39" s="143"/>
      <c r="U39" s="143"/>
      <c r="V39" s="143"/>
      <c r="Y39" s="143"/>
      <c r="Z39" s="143"/>
      <c r="AA39" s="143"/>
    </row>
    <row r="40" spans="1:32" ht="15" customHeight="1" x14ac:dyDescent="0.25">
      <c r="A40" s="67"/>
      <c r="B40" s="593"/>
      <c r="C40" s="594"/>
      <c r="D40" s="595"/>
      <c r="E40" s="562"/>
      <c r="F40" s="560"/>
      <c r="G40" s="561"/>
      <c r="H40" s="582"/>
      <c r="I40" s="583"/>
      <c r="J40" s="583"/>
      <c r="K40" s="583"/>
      <c r="L40" s="583"/>
      <c r="M40" s="583"/>
      <c r="N40" s="583"/>
      <c r="O40" s="583"/>
      <c r="P40" s="583"/>
      <c r="Q40" s="584"/>
      <c r="R40" s="262"/>
      <c r="S40" s="59"/>
      <c r="T40" s="143"/>
      <c r="U40" s="143"/>
      <c r="V40" s="143"/>
      <c r="Y40" s="143"/>
      <c r="Z40" s="143"/>
      <c r="AA40" s="143"/>
    </row>
    <row r="41" spans="1:32" ht="11.25" customHeight="1" thickBot="1" x14ac:dyDescent="0.3">
      <c r="A41" s="67"/>
      <c r="B41" s="596"/>
      <c r="C41" s="597"/>
      <c r="D41" s="598"/>
      <c r="E41" s="139"/>
      <c r="F41" s="599"/>
      <c r="G41" s="600"/>
      <c r="H41" s="585"/>
      <c r="I41" s="586"/>
      <c r="J41" s="586"/>
      <c r="K41" s="586"/>
      <c r="L41" s="586"/>
      <c r="M41" s="586"/>
      <c r="N41" s="586"/>
      <c r="O41" s="586"/>
      <c r="P41" s="586"/>
      <c r="Q41" s="587"/>
      <c r="R41" s="262"/>
      <c r="S41" s="59"/>
      <c r="T41" s="143"/>
      <c r="U41" s="143"/>
      <c r="V41" s="143"/>
      <c r="W41" s="143"/>
      <c r="X41" s="143"/>
      <c r="Y41" s="143"/>
      <c r="Z41" s="143"/>
      <c r="AA41" s="143"/>
    </row>
    <row r="42" spans="1:32" x14ac:dyDescent="0.2">
      <c r="A42" s="67"/>
      <c r="B42" s="67"/>
      <c r="C42" s="67"/>
      <c r="D42" s="67"/>
      <c r="E42" s="67"/>
      <c r="F42" s="67"/>
      <c r="G42" s="67"/>
      <c r="H42" s="67"/>
      <c r="I42" s="67"/>
      <c r="J42" s="67"/>
      <c r="K42" s="67"/>
      <c r="L42" s="67"/>
      <c r="M42" s="67"/>
      <c r="N42" s="67"/>
      <c r="O42" s="67"/>
      <c r="P42" s="67"/>
      <c r="Q42" s="67"/>
      <c r="R42" s="67"/>
      <c r="S42" s="67"/>
    </row>
  </sheetData>
  <sheetProtection algorithmName="SHA-512" hashValue="/OrwrtoPtsNhcJwIq0c0Hrf0DPCgubPM3lvJAeLyS3wJpsp3fHXVP3JFQj6OKqf9nyLXsK9HNk4dvLGHR93xdA==" saltValue="GHA+vyTyZJgdf4MujBnnYA==" spinCount="100000" sheet="1" objects="1" scenarios="1"/>
  <sortState xmlns:xlrd2="http://schemas.microsoft.com/office/spreadsheetml/2017/richdata2" ref="C7:K14">
    <sortCondition ref="K7:K14"/>
  </sortState>
  <mergeCells count="19">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 ref="F40:G40"/>
    <mergeCell ref="D2:F2"/>
    <mergeCell ref="E3:I3"/>
  </mergeCells>
  <phoneticPr fontId="70"/>
  <dataValidations count="9">
    <dataValidation type="list" allowBlank="1" showInputMessage="1" showErrorMessage="1" sqref="D3" xr:uid="{00000000-0002-0000-0200-000000000000}">
      <formula1>レース番号</formula1>
    </dataValidation>
    <dataValidation type="list" allowBlank="1" showInputMessage="1" showErrorMessage="1" sqref="I6" xr:uid="{00000000-0002-0000-0200-000001000000}">
      <formula1>ＴＡ</formula1>
    </dataValidation>
    <dataValidation type="list" showInputMessage="1" showErrorMessage="1" sqref="E3" xr:uid="{00000000-0002-0000-0200-000002000000}">
      <formula1>レース名</formula1>
    </dataValidation>
    <dataValidation type="list" allowBlank="1" showInputMessage="1" showErrorMessage="1" sqref="N2 F38:G38" xr:uid="{00000000-0002-0000-0200-000003000000}">
      <formula1>コース</formula1>
    </dataValidation>
    <dataValidation type="list" allowBlank="1" showInputMessage="1" showErrorMessage="1" sqref="G2" xr:uid="{00000000-0002-0000-0200-000004000000}">
      <formula1>月</formula1>
    </dataValidation>
    <dataValidation type="list" allowBlank="1" showInputMessage="1" showErrorMessage="1" sqref="J3:K3" xr:uid="{00000000-0002-0000-0200-000005000000}">
      <formula1>暫定</formula1>
    </dataValidation>
    <dataValidation type="list" allowBlank="1" showInputMessage="1" showErrorMessage="1" sqref="Q2:R2" xr:uid="{00000000-0002-0000-0200-000006000000}">
      <formula1>時刻</formula1>
    </dataValidation>
    <dataValidation type="list" allowBlank="1" showInputMessage="1" showErrorMessage="1" sqref="P2 F37:G37" xr:uid="{00000000-0002-0000-0200-000007000000}">
      <formula1>開催日</formula1>
    </dataValidation>
    <dataValidation type="list" allowBlank="1" showInputMessage="1" showErrorMessage="1" sqref="O6" xr:uid="{DA89CD5F-D99C-4A70-A1E6-225143AB7C7E}">
      <formula1>$AB$6:$AF$6</formula1>
    </dataValidation>
  </dataValidations>
  <pageMargins left="0.31496062992125984" right="0" top="0.35433070866141736" bottom="0.19685039370078741" header="0" footer="0"/>
  <pageSetup paperSize="9" scale="99" orientation="landscape" horizontalDpi="4294967293"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42"/>
  <sheetViews>
    <sheetView zoomScale="85" zoomScaleNormal="85" workbookViewId="0">
      <selection activeCell="K27" sqref="K27"/>
    </sheetView>
  </sheetViews>
  <sheetFormatPr defaultColWidth="9" defaultRowHeight="13" x14ac:dyDescent="0.2"/>
  <cols>
    <col min="1" max="1" width="1.7265625" style="142" customWidth="1"/>
    <col min="2" max="2" width="5" style="142" customWidth="1"/>
    <col min="3" max="3" width="7" style="142" customWidth="1"/>
    <col min="4" max="4" width="18" style="142" customWidth="1"/>
    <col min="5" max="5" width="8.453125" style="142" hidden="1" customWidth="1"/>
    <col min="6" max="6" width="5" style="142" customWidth="1"/>
    <col min="7" max="7" width="10.90625" style="142" customWidth="1"/>
    <col min="8" max="8" width="8.36328125" style="142" customWidth="1"/>
    <col min="9" max="9" width="8.6328125" style="142" customWidth="1"/>
    <col min="10" max="10" width="5" style="142" customWidth="1"/>
    <col min="11" max="11" width="8.453125" style="142" customWidth="1"/>
    <col min="12" max="12" width="10.90625" style="142" customWidth="1"/>
    <col min="13" max="13" width="9.453125" style="142" customWidth="1"/>
    <col min="14" max="14" width="7.90625" style="142" customWidth="1"/>
    <col min="15" max="15" width="8" style="142" customWidth="1"/>
    <col min="16" max="16" width="12" style="142" bestFit="1" customWidth="1"/>
    <col min="17" max="17" width="11.6328125" style="142" customWidth="1"/>
    <col min="18" max="19" width="2.453125" style="142" customWidth="1"/>
    <col min="20" max="22" width="7.6328125" style="142" hidden="1" customWidth="1"/>
    <col min="23" max="23" width="8.26953125" style="142" customWidth="1"/>
    <col min="24" max="26" width="7.6328125" style="142" customWidth="1"/>
    <col min="27" max="27" width="4.453125" style="142" customWidth="1"/>
    <col min="28" max="30" width="8" style="142" customWidth="1"/>
    <col min="31" max="16384" width="9" style="142"/>
  </cols>
  <sheetData>
    <row r="1" spans="1:32" ht="9.75" customHeight="1" thickBot="1" x14ac:dyDescent="0.25">
      <c r="A1" s="67"/>
      <c r="B1" s="67"/>
      <c r="C1" s="67"/>
      <c r="D1" s="67"/>
      <c r="E1" s="67"/>
      <c r="F1" s="67"/>
      <c r="G1" s="67"/>
      <c r="H1" s="67"/>
      <c r="I1" s="67"/>
      <c r="J1" s="67"/>
      <c r="K1" s="67"/>
      <c r="L1" s="67"/>
      <c r="M1" s="67"/>
      <c r="N1" s="67"/>
      <c r="O1" s="67"/>
      <c r="P1" s="67"/>
      <c r="Q1" s="67"/>
      <c r="R1" s="67"/>
      <c r="S1" s="67"/>
    </row>
    <row r="2" spans="1:32" ht="21" x14ac:dyDescent="0.3">
      <c r="A2" s="67"/>
      <c r="B2" s="59"/>
      <c r="C2" s="60"/>
      <c r="D2" s="563" t="str">
        <f>参照ﾃﾞｰﾀ!F4</f>
        <v>2026年</v>
      </c>
      <c r="E2" s="563"/>
      <c r="F2" s="563"/>
      <c r="G2" s="61" t="s">
        <v>144</v>
      </c>
      <c r="H2" s="62"/>
      <c r="I2" s="63"/>
      <c r="J2" s="59"/>
      <c r="K2" s="64"/>
      <c r="L2" s="59"/>
      <c r="M2" s="65" t="s">
        <v>33</v>
      </c>
      <c r="N2" s="457" t="str">
        <f>参照ﾃﾞｰﾀ!AA7</f>
        <v>E</v>
      </c>
      <c r="O2" s="66" t="s">
        <v>35</v>
      </c>
      <c r="P2" s="183">
        <f>参照ﾃﾞｰﾀ!J7</f>
        <v>46131</v>
      </c>
      <c r="Q2" s="507">
        <v>0.4375</v>
      </c>
      <c r="R2" s="59"/>
      <c r="S2" s="59"/>
      <c r="T2" s="144" t="s">
        <v>2</v>
      </c>
      <c r="U2" s="143"/>
      <c r="V2" s="143"/>
      <c r="W2" s="144" t="str">
        <f>参照ＴＡ!AC3</f>
        <v>2026年</v>
      </c>
      <c r="X2" s="144" t="str">
        <f>参照ＴＡ!AE3</f>
        <v>4月</v>
      </c>
      <c r="Y2" s="143"/>
      <c r="Z2" s="143"/>
      <c r="AA2" s="143"/>
    </row>
    <row r="3" spans="1:32" ht="21.75" customHeight="1" thickBot="1" x14ac:dyDescent="0.35">
      <c r="A3" s="67"/>
      <c r="B3" s="59"/>
      <c r="C3" s="67"/>
      <c r="D3" s="68" t="str">
        <f>参照ﾃﾞｰﾀ!M7</f>
        <v>＃619</v>
      </c>
      <c r="E3" s="603" t="s">
        <v>45</v>
      </c>
      <c r="F3" s="603"/>
      <c r="G3" s="603"/>
      <c r="H3" s="603"/>
      <c r="I3" s="603"/>
      <c r="J3" s="565" t="s">
        <v>36</v>
      </c>
      <c r="K3" s="565"/>
      <c r="L3" s="59"/>
      <c r="M3" s="69" t="s">
        <v>56</v>
      </c>
      <c r="N3" s="506">
        <f>IF(ISBLANK(N2),"",VLOOKUP(N2,コース・距離,2,FALSE))</f>
        <v>11.3</v>
      </c>
      <c r="O3" s="71" t="s">
        <v>0</v>
      </c>
      <c r="P3" s="456">
        <v>15</v>
      </c>
      <c r="Q3" s="72" t="s">
        <v>1</v>
      </c>
      <c r="R3" s="59"/>
      <c r="S3" s="59"/>
      <c r="T3" s="143" t="s">
        <v>168</v>
      </c>
      <c r="U3" s="143"/>
      <c r="V3" s="143"/>
      <c r="W3" s="144" t="s">
        <v>2</v>
      </c>
      <c r="X3" s="143"/>
      <c r="Y3" s="143"/>
      <c r="Z3" s="143"/>
      <c r="AA3" s="143"/>
      <c r="AB3" s="145" t="s">
        <v>57</v>
      </c>
    </row>
    <row r="4" spans="1:32" ht="7.5" customHeight="1" thickBot="1" x14ac:dyDescent="0.3">
      <c r="A4" s="67"/>
      <c r="B4" s="59"/>
      <c r="C4" s="59"/>
      <c r="D4" s="59"/>
      <c r="E4" s="59"/>
      <c r="F4" s="59"/>
      <c r="G4" s="59"/>
      <c r="H4" s="59"/>
      <c r="I4" s="59"/>
      <c r="J4" s="59"/>
      <c r="K4" s="59"/>
      <c r="L4" s="59"/>
      <c r="M4" s="59"/>
      <c r="N4" s="59"/>
      <c r="O4" s="59"/>
      <c r="P4" s="59"/>
      <c r="Q4" s="59"/>
      <c r="R4" s="59"/>
      <c r="S4" s="59"/>
      <c r="T4" s="143"/>
      <c r="U4" s="143"/>
      <c r="V4" s="143"/>
      <c r="W4" s="146"/>
      <c r="X4" s="143"/>
      <c r="Y4" s="143"/>
      <c r="Z4" s="143"/>
      <c r="AA4" s="143"/>
    </row>
    <row r="5" spans="1:32" ht="14" x14ac:dyDescent="0.2">
      <c r="A5" s="67"/>
      <c r="B5" s="73" t="s">
        <v>3</v>
      </c>
      <c r="C5" s="74" t="s">
        <v>4</v>
      </c>
      <c r="D5" s="74" t="s">
        <v>5</v>
      </c>
      <c r="E5" s="74" t="s">
        <v>6</v>
      </c>
      <c r="F5" s="74" t="s">
        <v>7</v>
      </c>
      <c r="G5" s="74" t="s">
        <v>8</v>
      </c>
      <c r="H5" s="74" t="s">
        <v>9</v>
      </c>
      <c r="I5" s="74" t="s">
        <v>10</v>
      </c>
      <c r="J5" s="74" t="s">
        <v>11</v>
      </c>
      <c r="K5" s="74" t="s">
        <v>12</v>
      </c>
      <c r="L5" s="75" t="s">
        <v>178</v>
      </c>
      <c r="M5" s="75" t="s">
        <v>175</v>
      </c>
      <c r="N5" s="74" t="s">
        <v>52</v>
      </c>
      <c r="O5" s="74" t="s">
        <v>13</v>
      </c>
      <c r="P5" s="566" t="s">
        <v>51</v>
      </c>
      <c r="Q5" s="567"/>
      <c r="R5" s="140"/>
      <c r="S5" s="140"/>
      <c r="T5" s="149" t="s">
        <v>10</v>
      </c>
      <c r="U5" s="147" t="s">
        <v>10</v>
      </c>
      <c r="V5" s="316" t="s">
        <v>10</v>
      </c>
      <c r="W5" s="149" t="s">
        <v>10</v>
      </c>
      <c r="X5" s="147" t="s">
        <v>10</v>
      </c>
      <c r="Y5" s="316" t="s">
        <v>10</v>
      </c>
      <c r="Z5" s="150" t="s">
        <v>10</v>
      </c>
      <c r="AA5" s="148"/>
      <c r="AB5" s="149" t="s">
        <v>13</v>
      </c>
      <c r="AC5" s="147" t="s">
        <v>13</v>
      </c>
      <c r="AD5" s="316" t="s">
        <v>13</v>
      </c>
      <c r="AE5" s="147" t="s">
        <v>13</v>
      </c>
      <c r="AF5" s="374" t="s">
        <v>13</v>
      </c>
    </row>
    <row r="6" spans="1:32" ht="14" x14ac:dyDescent="0.2">
      <c r="A6" s="67"/>
      <c r="B6" s="76"/>
      <c r="C6" s="77" t="s">
        <v>14</v>
      </c>
      <c r="D6" s="78"/>
      <c r="E6" s="79" t="s">
        <v>15</v>
      </c>
      <c r="F6" s="79"/>
      <c r="G6" s="77" t="s">
        <v>16</v>
      </c>
      <c r="H6" s="79" t="s">
        <v>17</v>
      </c>
      <c r="I6" s="455" t="s">
        <v>245</v>
      </c>
      <c r="J6" s="79" t="s">
        <v>18</v>
      </c>
      <c r="K6" s="79" t="s">
        <v>17</v>
      </c>
      <c r="L6" s="77" t="s">
        <v>16</v>
      </c>
      <c r="M6" s="79" t="s">
        <v>31</v>
      </c>
      <c r="N6" s="79" t="s">
        <v>19</v>
      </c>
      <c r="O6" s="373" t="str">
        <f>参照ﾃﾞｰﾀ!K7</f>
        <v>MAX=20</v>
      </c>
      <c r="P6" s="80"/>
      <c r="Q6" s="81"/>
      <c r="R6" s="141"/>
      <c r="S6" s="141"/>
      <c r="T6" s="153" t="s">
        <v>20</v>
      </c>
      <c r="U6" s="151" t="s">
        <v>22</v>
      </c>
      <c r="V6" s="317" t="s">
        <v>21</v>
      </c>
      <c r="W6" s="153" t="s">
        <v>20</v>
      </c>
      <c r="X6" s="151" t="s">
        <v>22</v>
      </c>
      <c r="Y6" s="414" t="s">
        <v>21</v>
      </c>
      <c r="Z6" s="154" t="s">
        <v>230</v>
      </c>
      <c r="AA6" s="152"/>
      <c r="AB6" s="382" t="s">
        <v>192</v>
      </c>
      <c r="AC6" s="373" t="s">
        <v>59</v>
      </c>
      <c r="AD6" s="383" t="s">
        <v>191</v>
      </c>
      <c r="AE6" s="373" t="s">
        <v>231</v>
      </c>
      <c r="AF6" s="379" t="s">
        <v>232</v>
      </c>
    </row>
    <row r="7" spans="1:32" ht="14" x14ac:dyDescent="0.2">
      <c r="A7" s="67"/>
      <c r="B7" s="82">
        <v>1</v>
      </c>
      <c r="C7" s="83"/>
      <c r="D7" s="84" t="str">
        <f t="shared" ref="D7:D31" si="0">IF(ISBLANK(C7),"",VLOOKUP(C7,第4月ＴＡ,2,FALSE))</f>
        <v/>
      </c>
      <c r="E7" s="168" t="str">
        <f t="shared" ref="E7:E22" si="1">IF($I$6="Ⅰ",T7,IF($I$6="Ⅱ",U7,IF($I$6="Ⅲ",V7,"")))</f>
        <v/>
      </c>
      <c r="F7" s="85">
        <v>1</v>
      </c>
      <c r="G7" s="86"/>
      <c r="H7" s="83" t="str">
        <f t="shared" ref="H7:H22" si="2">IFERROR(IF(G7-$Q$2&lt;=0,"",(G7-$Q$2)*86400),"")</f>
        <v/>
      </c>
      <c r="I7" s="87" t="str">
        <f>IF($I$6="Ⅰ",W7,IF($I$6="Ⅱ",X7,IF($I$6="Ⅲ",Y7,IF($I$6="IV",Z7,""))))</f>
        <v/>
      </c>
      <c r="J7" s="85"/>
      <c r="K7" s="88" t="str">
        <f t="shared" ref="K7:K22" si="3">IFERROR(H7*(1+0.01*J7)-I7*$N$3,"")</f>
        <v/>
      </c>
      <c r="L7" s="86" t="str">
        <f t="shared" ref="L7:L17" si="4">IFERROR((K7-$K$7)/86400,"")</f>
        <v/>
      </c>
      <c r="M7" s="89" t="str">
        <f t="shared" ref="M7:M17" si="5">IFERROR((K7-$K$7)/$N$3,"")</f>
        <v/>
      </c>
      <c r="N7" s="90" t="str">
        <f t="shared" ref="N7:N17" si="6">IFERROR($N$3/(H7/3600),"")</f>
        <v/>
      </c>
      <c r="O7" s="388">
        <f t="shared" ref="O7:O8" si="7">ROUND(IF($O$6="MAX=15",AB7,IF($O$6="MAX=20",AC7,IF($O$6="MAX=25",AD7,IF($O$6="MAX=30",AE7,IF($O$6="MAX=40",AF7))))),1)</f>
        <v>20</v>
      </c>
      <c r="P7" s="173"/>
      <c r="Q7" s="91"/>
      <c r="R7" s="140"/>
      <c r="S7" s="140"/>
      <c r="T7" s="156" t="str">
        <f t="shared" ref="T7:T31" si="8">IF(ISBLANK(C7),"",VLOOKUP(C7,各艇データ,3,FALSE))</f>
        <v/>
      </c>
      <c r="U7" s="157" t="str">
        <f t="shared" ref="U7:U31" si="9">IF(ISBLANK(C7),"",VLOOKUP(C7,各艇データ,4,FALSE))</f>
        <v/>
      </c>
      <c r="V7" s="318" t="str">
        <f t="shared" ref="V7:V31" si="10">IF(ISBLANK(C7),"",VLOOKUP(C7,各艇データ,5,FALSE))</f>
        <v/>
      </c>
      <c r="W7" s="310" t="str">
        <f t="shared" ref="W7:W31" si="11">IF(ISBLANK(C7),"",VLOOKUP(C7,第4月ＴＡ,3,FALSE))</f>
        <v/>
      </c>
      <c r="X7" s="311" t="str">
        <f t="shared" ref="X7:X31" si="12">IF(ISBLANK(C7),"",VLOOKUP(C7,第4月ＴＡ,4,FALSE))</f>
        <v/>
      </c>
      <c r="Y7" s="415" t="str">
        <f t="shared" ref="Y7:Y31" si="13">IF(ISBLANK(C7),"",VLOOKUP(C7,第4月ＴＡ,5,FALSE))</f>
        <v/>
      </c>
      <c r="Z7" s="159" t="str">
        <f t="shared" ref="Z7:Z31" si="14">IF(ISBLANK(C7),"",VLOOKUP(C7,第1月ＴＡ,6,FALSE))</f>
        <v/>
      </c>
      <c r="AA7" s="148"/>
      <c r="AB7" s="160">
        <f>IF(ISBLANK(B7),"",IFERROR(15*($P$3+1-$B7)/$P$3,"15.0"))</f>
        <v>15</v>
      </c>
      <c r="AC7" s="155">
        <f>IF(ISBLANK(B7),"",IFERROR(20*($P$3+1-$B7)/$P$3,"20.0"))</f>
        <v>20</v>
      </c>
      <c r="AD7" s="155">
        <f>IF(ISBLANK(B7),"",IFERROR(25*($P$3+1-$B7)/$P$3,"25.0"))</f>
        <v>25</v>
      </c>
      <c r="AE7" s="155">
        <f>IF(ISBLANK($B7),"",IFERROR(30*($P$3+1-$B7)/$P$3,"30.0"))</f>
        <v>30</v>
      </c>
      <c r="AF7" s="384">
        <f>IF(ISBLANK($B7),"",IFERROR(40*($P$3+1-$B7)/$P$3,"40.0"))</f>
        <v>40</v>
      </c>
    </row>
    <row r="8" spans="1:32" ht="14" x14ac:dyDescent="0.2">
      <c r="A8" s="67"/>
      <c r="B8" s="92">
        <v>2</v>
      </c>
      <c r="C8" s="93"/>
      <c r="D8" s="94" t="str">
        <f t="shared" si="0"/>
        <v/>
      </c>
      <c r="E8" s="169" t="str">
        <f t="shared" si="1"/>
        <v/>
      </c>
      <c r="F8" s="95">
        <v>2</v>
      </c>
      <c r="G8" s="96"/>
      <c r="H8" s="93" t="str">
        <f t="shared" si="2"/>
        <v/>
      </c>
      <c r="I8" s="97" t="str">
        <f t="shared" ref="I8:I31" si="15">IF($I$6="Ⅰ",W8,IF($I$6="Ⅱ",X8,IF($I$6="Ⅲ",Y8,IF($I$6="IV",Z8,""))))</f>
        <v/>
      </c>
      <c r="J8" s="95"/>
      <c r="K8" s="98" t="str">
        <f t="shared" si="3"/>
        <v/>
      </c>
      <c r="L8" s="96" t="str">
        <f t="shared" si="4"/>
        <v/>
      </c>
      <c r="M8" s="99" t="str">
        <f t="shared" si="5"/>
        <v/>
      </c>
      <c r="N8" s="100" t="str">
        <f t="shared" si="6"/>
        <v/>
      </c>
      <c r="O8" s="339">
        <f t="shared" si="7"/>
        <v>18.7</v>
      </c>
      <c r="P8" s="101"/>
      <c r="Q8" s="102"/>
      <c r="R8" s="140"/>
      <c r="S8" s="140"/>
      <c r="T8" s="156" t="str">
        <f t="shared" si="8"/>
        <v/>
      </c>
      <c r="U8" s="157" t="str">
        <f t="shared" si="9"/>
        <v/>
      </c>
      <c r="V8" s="318" t="str">
        <f t="shared" si="10"/>
        <v/>
      </c>
      <c r="W8" s="310" t="str">
        <f t="shared" si="11"/>
        <v/>
      </c>
      <c r="X8" s="311" t="str">
        <f t="shared" si="12"/>
        <v/>
      </c>
      <c r="Y8" s="415" t="str">
        <f t="shared" si="13"/>
        <v/>
      </c>
      <c r="Z8" s="159" t="str">
        <f t="shared" si="14"/>
        <v/>
      </c>
      <c r="AA8" s="148"/>
      <c r="AB8" s="160">
        <f t="shared" ref="AB8:AB31" si="16">IF(ISBLANK(B8),"",IFERROR(15*($P$3+1-$B8)/$P$3,"15.0"))</f>
        <v>14</v>
      </c>
      <c r="AC8" s="155">
        <f>IF(ISBLANK(B8),"",IFERROR(20*($P$3+1-$B8)/$P$3,"20.0"))</f>
        <v>18.666666666666668</v>
      </c>
      <c r="AD8" s="155">
        <f t="shared" ref="AD8:AD31" si="17">IF(ISBLANK(B8),"",IFERROR(25*($P$3+1-$B8)/$P$3,"25.0"))</f>
        <v>23.333333333333332</v>
      </c>
      <c r="AE8" s="155">
        <f t="shared" ref="AE8:AE26" si="18">IF(ISBLANK($B8),"",IFERROR(30*($P$3+1-$B8)/$P$3,"30.0"))</f>
        <v>28</v>
      </c>
      <c r="AF8" s="384">
        <f t="shared" ref="AF8:AF31" si="19">IF(ISBLANK($B8),"",IFERROR(40*($P$3+1-$B8)/$P$3,"40.0"))</f>
        <v>37.333333333333336</v>
      </c>
    </row>
    <row r="9" spans="1:32" ht="14" x14ac:dyDescent="0.2">
      <c r="A9" s="67"/>
      <c r="B9" s="92">
        <v>3</v>
      </c>
      <c r="C9" s="93"/>
      <c r="D9" s="94" t="str">
        <f t="shared" si="0"/>
        <v/>
      </c>
      <c r="E9" s="169" t="str">
        <f t="shared" si="1"/>
        <v/>
      </c>
      <c r="F9" s="95">
        <v>3</v>
      </c>
      <c r="G9" s="96"/>
      <c r="H9" s="93" t="str">
        <f t="shared" si="2"/>
        <v/>
      </c>
      <c r="I9" s="97" t="str">
        <f t="shared" si="15"/>
        <v/>
      </c>
      <c r="J9" s="95"/>
      <c r="K9" s="98" t="str">
        <f t="shared" si="3"/>
        <v/>
      </c>
      <c r="L9" s="96" t="str">
        <f t="shared" si="4"/>
        <v/>
      </c>
      <c r="M9" s="99" t="str">
        <f t="shared" si="5"/>
        <v/>
      </c>
      <c r="N9" s="100" t="str">
        <f t="shared" si="6"/>
        <v/>
      </c>
      <c r="O9" s="339">
        <f>ROUND(IF($O$6="MAX=15",AB9,IF($O$6="MAX=20",AC9,IF($O$6="MAX=25",AD9,IF($O$6="MAX=30",AE9,IF($O$6="MAX=40",AF9))))),1)</f>
        <v>17.3</v>
      </c>
      <c r="P9" s="101"/>
      <c r="Q9" s="102"/>
      <c r="R9" s="140"/>
      <c r="S9" s="140"/>
      <c r="T9" s="156" t="str">
        <f t="shared" si="8"/>
        <v/>
      </c>
      <c r="U9" s="157" t="str">
        <f t="shared" si="9"/>
        <v/>
      </c>
      <c r="V9" s="318" t="str">
        <f t="shared" si="10"/>
        <v/>
      </c>
      <c r="W9" s="310" t="str">
        <f t="shared" si="11"/>
        <v/>
      </c>
      <c r="X9" s="311" t="str">
        <f t="shared" si="12"/>
        <v/>
      </c>
      <c r="Y9" s="415" t="str">
        <f t="shared" si="13"/>
        <v/>
      </c>
      <c r="Z9" s="159" t="str">
        <f t="shared" si="14"/>
        <v/>
      </c>
      <c r="AA9" s="148"/>
      <c r="AB9" s="160">
        <f t="shared" si="16"/>
        <v>13</v>
      </c>
      <c r="AC9" s="155">
        <f t="shared" ref="AC9:AC31" si="20">IF(ISBLANK(B9),"",IFERROR(20*($P$3+1-$B9)/$P$3,"20.0"))</f>
        <v>17.333333333333332</v>
      </c>
      <c r="AD9" s="155">
        <f t="shared" si="17"/>
        <v>21.666666666666668</v>
      </c>
      <c r="AE9" s="155">
        <f t="shared" si="18"/>
        <v>26</v>
      </c>
      <c r="AF9" s="384">
        <f t="shared" si="19"/>
        <v>34.666666666666664</v>
      </c>
    </row>
    <row r="10" spans="1:32" ht="14" x14ac:dyDescent="0.2">
      <c r="A10" s="67"/>
      <c r="B10" s="92">
        <v>4</v>
      </c>
      <c r="C10" s="93"/>
      <c r="D10" s="94" t="str">
        <f t="shared" si="0"/>
        <v/>
      </c>
      <c r="E10" s="169" t="str">
        <f t="shared" si="1"/>
        <v/>
      </c>
      <c r="F10" s="95">
        <v>4</v>
      </c>
      <c r="G10" s="96"/>
      <c r="H10" s="93" t="str">
        <f t="shared" si="2"/>
        <v/>
      </c>
      <c r="I10" s="97" t="str">
        <f t="shared" si="15"/>
        <v/>
      </c>
      <c r="J10" s="95"/>
      <c r="K10" s="98" t="str">
        <f t="shared" si="3"/>
        <v/>
      </c>
      <c r="L10" s="96" t="str">
        <f t="shared" si="4"/>
        <v/>
      </c>
      <c r="M10" s="99" t="str">
        <f t="shared" si="5"/>
        <v/>
      </c>
      <c r="N10" s="100" t="str">
        <f t="shared" si="6"/>
        <v/>
      </c>
      <c r="O10" s="339">
        <f t="shared" ref="O10:O31" si="21">ROUND(IF($O$6="MAX=15",AB10,IF($O$6="MAX=20",AC10,IF($O$6="MAX=25",AD10,IF($O$6="MAX=30",AE10,IF($O$6="MAX=40",AF10))))),1)</f>
        <v>16</v>
      </c>
      <c r="P10" s="164"/>
      <c r="Q10" s="102"/>
      <c r="R10" s="140"/>
      <c r="S10" s="140"/>
      <c r="T10" s="156" t="str">
        <f t="shared" si="8"/>
        <v/>
      </c>
      <c r="U10" s="157" t="str">
        <f t="shared" si="9"/>
        <v/>
      </c>
      <c r="V10" s="318" t="str">
        <f t="shared" si="10"/>
        <v/>
      </c>
      <c r="W10" s="310" t="str">
        <f t="shared" si="11"/>
        <v/>
      </c>
      <c r="X10" s="311" t="str">
        <f t="shared" si="12"/>
        <v/>
      </c>
      <c r="Y10" s="415" t="str">
        <f t="shared" si="13"/>
        <v/>
      </c>
      <c r="Z10" s="159" t="str">
        <f t="shared" si="14"/>
        <v/>
      </c>
      <c r="AA10" s="148"/>
      <c r="AB10" s="160">
        <f t="shared" si="16"/>
        <v>12</v>
      </c>
      <c r="AC10" s="155">
        <f t="shared" si="20"/>
        <v>16</v>
      </c>
      <c r="AD10" s="155">
        <f t="shared" si="17"/>
        <v>20</v>
      </c>
      <c r="AE10" s="155">
        <f t="shared" si="18"/>
        <v>24</v>
      </c>
      <c r="AF10" s="384">
        <f t="shared" si="19"/>
        <v>32</v>
      </c>
    </row>
    <row r="11" spans="1:32" ht="14" x14ac:dyDescent="0.2">
      <c r="A11" s="67"/>
      <c r="B11" s="103">
        <v>5</v>
      </c>
      <c r="C11" s="104"/>
      <c r="D11" s="105" t="str">
        <f t="shared" si="0"/>
        <v/>
      </c>
      <c r="E11" s="170" t="str">
        <f t="shared" si="1"/>
        <v/>
      </c>
      <c r="F11" s="106">
        <v>5</v>
      </c>
      <c r="G11" s="107"/>
      <c r="H11" s="108" t="str">
        <f t="shared" si="2"/>
        <v/>
      </c>
      <c r="I11" s="109" t="str">
        <f t="shared" si="15"/>
        <v/>
      </c>
      <c r="J11" s="110"/>
      <c r="K11" s="111" t="str">
        <f t="shared" si="3"/>
        <v/>
      </c>
      <c r="L11" s="112" t="str">
        <f t="shared" si="4"/>
        <v/>
      </c>
      <c r="M11" s="113" t="str">
        <f t="shared" si="5"/>
        <v/>
      </c>
      <c r="N11" s="114" t="str">
        <f t="shared" si="6"/>
        <v/>
      </c>
      <c r="O11" s="389">
        <f t="shared" si="21"/>
        <v>14.7</v>
      </c>
      <c r="P11" s="115"/>
      <c r="Q11" s="116"/>
      <c r="R11" s="140"/>
      <c r="S11" s="140"/>
      <c r="T11" s="156" t="str">
        <f t="shared" si="8"/>
        <v/>
      </c>
      <c r="U11" s="157" t="str">
        <f t="shared" si="9"/>
        <v/>
      </c>
      <c r="V11" s="318" t="str">
        <f t="shared" si="10"/>
        <v/>
      </c>
      <c r="W11" s="310" t="str">
        <f t="shared" si="11"/>
        <v/>
      </c>
      <c r="X11" s="311" t="str">
        <f t="shared" si="12"/>
        <v/>
      </c>
      <c r="Y11" s="415" t="str">
        <f t="shared" si="13"/>
        <v/>
      </c>
      <c r="Z11" s="159" t="str">
        <f t="shared" si="14"/>
        <v/>
      </c>
      <c r="AA11" s="148"/>
      <c r="AB11" s="160">
        <f t="shared" si="16"/>
        <v>11</v>
      </c>
      <c r="AC11" s="155">
        <f t="shared" si="20"/>
        <v>14.666666666666666</v>
      </c>
      <c r="AD11" s="155">
        <f t="shared" si="17"/>
        <v>18.333333333333332</v>
      </c>
      <c r="AE11" s="155">
        <f t="shared" si="18"/>
        <v>22</v>
      </c>
      <c r="AF11" s="384">
        <f t="shared" si="19"/>
        <v>29.333333333333332</v>
      </c>
    </row>
    <row r="12" spans="1:32" ht="14" x14ac:dyDescent="0.2">
      <c r="A12" s="67"/>
      <c r="B12" s="82">
        <v>6</v>
      </c>
      <c r="C12" s="83"/>
      <c r="D12" s="134" t="str">
        <f t="shared" si="0"/>
        <v/>
      </c>
      <c r="E12" s="168" t="str">
        <f t="shared" si="1"/>
        <v/>
      </c>
      <c r="F12" s="85">
        <v>6</v>
      </c>
      <c r="G12" s="86"/>
      <c r="H12" s="83" t="str">
        <f t="shared" si="2"/>
        <v/>
      </c>
      <c r="I12" s="87" t="str">
        <f t="shared" si="15"/>
        <v/>
      </c>
      <c r="J12" s="85"/>
      <c r="K12" s="88" t="str">
        <f t="shared" si="3"/>
        <v/>
      </c>
      <c r="L12" s="86" t="str">
        <f t="shared" si="4"/>
        <v/>
      </c>
      <c r="M12" s="89" t="str">
        <f t="shared" si="5"/>
        <v/>
      </c>
      <c r="N12" s="90" t="str">
        <f t="shared" si="6"/>
        <v/>
      </c>
      <c r="O12" s="388">
        <f t="shared" si="21"/>
        <v>13.3</v>
      </c>
      <c r="P12" s="67"/>
      <c r="Q12" s="91"/>
      <c r="R12" s="140"/>
      <c r="S12" s="140"/>
      <c r="T12" s="156" t="str">
        <f t="shared" si="8"/>
        <v/>
      </c>
      <c r="U12" s="157" t="str">
        <f t="shared" si="9"/>
        <v/>
      </c>
      <c r="V12" s="318" t="str">
        <f t="shared" si="10"/>
        <v/>
      </c>
      <c r="W12" s="310" t="str">
        <f t="shared" si="11"/>
        <v/>
      </c>
      <c r="X12" s="311" t="str">
        <f t="shared" si="12"/>
        <v/>
      </c>
      <c r="Y12" s="415" t="str">
        <f t="shared" si="13"/>
        <v/>
      </c>
      <c r="Z12" s="159" t="str">
        <f t="shared" si="14"/>
        <v/>
      </c>
      <c r="AA12" s="148"/>
      <c r="AB12" s="160">
        <f t="shared" si="16"/>
        <v>10</v>
      </c>
      <c r="AC12" s="155">
        <f t="shared" si="20"/>
        <v>13.333333333333334</v>
      </c>
      <c r="AD12" s="155">
        <f t="shared" si="17"/>
        <v>16.666666666666668</v>
      </c>
      <c r="AE12" s="155">
        <f t="shared" si="18"/>
        <v>20</v>
      </c>
      <c r="AF12" s="384">
        <f t="shared" si="19"/>
        <v>26.666666666666668</v>
      </c>
    </row>
    <row r="13" spans="1:32" ht="14" x14ac:dyDescent="0.2">
      <c r="A13" s="67"/>
      <c r="B13" s="92">
        <v>7</v>
      </c>
      <c r="C13" s="93"/>
      <c r="D13" s="94" t="str">
        <f t="shared" si="0"/>
        <v/>
      </c>
      <c r="E13" s="169" t="str">
        <f t="shared" si="1"/>
        <v/>
      </c>
      <c r="F13" s="95">
        <v>7</v>
      </c>
      <c r="G13" s="96"/>
      <c r="H13" s="93" t="str">
        <f t="shared" si="2"/>
        <v/>
      </c>
      <c r="I13" s="97" t="str">
        <f t="shared" si="15"/>
        <v/>
      </c>
      <c r="J13" s="95"/>
      <c r="K13" s="98" t="str">
        <f t="shared" si="3"/>
        <v/>
      </c>
      <c r="L13" s="96" t="str">
        <f t="shared" si="4"/>
        <v/>
      </c>
      <c r="M13" s="99" t="str">
        <f t="shared" si="5"/>
        <v/>
      </c>
      <c r="N13" s="100" t="str">
        <f t="shared" si="6"/>
        <v/>
      </c>
      <c r="O13" s="339">
        <f t="shared" si="21"/>
        <v>12</v>
      </c>
      <c r="P13" s="131"/>
      <c r="Q13" s="102"/>
      <c r="R13" s="140"/>
      <c r="S13" s="140"/>
      <c r="T13" s="156" t="str">
        <f t="shared" si="8"/>
        <v/>
      </c>
      <c r="U13" s="157" t="str">
        <f t="shared" si="9"/>
        <v/>
      </c>
      <c r="V13" s="318" t="str">
        <f t="shared" si="10"/>
        <v/>
      </c>
      <c r="W13" s="310" t="str">
        <f t="shared" si="11"/>
        <v/>
      </c>
      <c r="X13" s="311" t="str">
        <f t="shared" si="12"/>
        <v/>
      </c>
      <c r="Y13" s="415" t="str">
        <f t="shared" si="13"/>
        <v/>
      </c>
      <c r="Z13" s="159" t="str">
        <f t="shared" si="14"/>
        <v/>
      </c>
      <c r="AA13" s="148"/>
      <c r="AB13" s="160">
        <f t="shared" si="16"/>
        <v>9</v>
      </c>
      <c r="AC13" s="155">
        <f t="shared" si="20"/>
        <v>12</v>
      </c>
      <c r="AD13" s="155">
        <f t="shared" si="17"/>
        <v>15</v>
      </c>
      <c r="AE13" s="155">
        <f t="shared" si="18"/>
        <v>18</v>
      </c>
      <c r="AF13" s="384">
        <f t="shared" si="19"/>
        <v>24</v>
      </c>
    </row>
    <row r="14" spans="1:32" ht="14" x14ac:dyDescent="0.2">
      <c r="A14" s="67"/>
      <c r="B14" s="92">
        <v>8</v>
      </c>
      <c r="C14" s="93"/>
      <c r="D14" s="94" t="str">
        <f t="shared" si="0"/>
        <v/>
      </c>
      <c r="E14" s="169" t="str">
        <f t="shared" si="1"/>
        <v/>
      </c>
      <c r="F14" s="95">
        <v>8</v>
      </c>
      <c r="G14" s="96"/>
      <c r="H14" s="93" t="str">
        <f t="shared" si="2"/>
        <v/>
      </c>
      <c r="I14" s="97" t="str">
        <f t="shared" si="15"/>
        <v/>
      </c>
      <c r="J14" s="95"/>
      <c r="K14" s="98" t="str">
        <f t="shared" si="3"/>
        <v/>
      </c>
      <c r="L14" s="96" t="str">
        <f t="shared" si="4"/>
        <v/>
      </c>
      <c r="M14" s="99" t="str">
        <f t="shared" si="5"/>
        <v/>
      </c>
      <c r="N14" s="100" t="str">
        <f t="shared" si="6"/>
        <v/>
      </c>
      <c r="O14" s="339">
        <f t="shared" si="21"/>
        <v>10.7</v>
      </c>
      <c r="P14" s="101"/>
      <c r="Q14" s="102"/>
      <c r="R14" s="140"/>
      <c r="S14" s="140"/>
      <c r="T14" s="156" t="str">
        <f t="shared" si="8"/>
        <v/>
      </c>
      <c r="U14" s="157" t="str">
        <f t="shared" si="9"/>
        <v/>
      </c>
      <c r="V14" s="318" t="str">
        <f t="shared" si="10"/>
        <v/>
      </c>
      <c r="W14" s="310" t="str">
        <f t="shared" si="11"/>
        <v/>
      </c>
      <c r="X14" s="311" t="str">
        <f t="shared" si="12"/>
        <v/>
      </c>
      <c r="Y14" s="415" t="str">
        <f t="shared" si="13"/>
        <v/>
      </c>
      <c r="Z14" s="159" t="str">
        <f t="shared" si="14"/>
        <v/>
      </c>
      <c r="AA14" s="148"/>
      <c r="AB14" s="160">
        <f t="shared" si="16"/>
        <v>8</v>
      </c>
      <c r="AC14" s="155">
        <f t="shared" si="20"/>
        <v>10.666666666666666</v>
      </c>
      <c r="AD14" s="155">
        <f t="shared" si="17"/>
        <v>13.333333333333334</v>
      </c>
      <c r="AE14" s="155">
        <f t="shared" si="18"/>
        <v>16</v>
      </c>
      <c r="AF14" s="384">
        <f t="shared" si="19"/>
        <v>21.333333333333332</v>
      </c>
    </row>
    <row r="15" spans="1:32" ht="14" x14ac:dyDescent="0.2">
      <c r="A15" s="67"/>
      <c r="B15" s="92">
        <v>9</v>
      </c>
      <c r="C15" s="93"/>
      <c r="D15" s="94" t="str">
        <f t="shared" si="0"/>
        <v/>
      </c>
      <c r="E15" s="169" t="str">
        <f t="shared" si="1"/>
        <v/>
      </c>
      <c r="F15" s="95">
        <v>9</v>
      </c>
      <c r="G15" s="96"/>
      <c r="H15" s="93" t="str">
        <f t="shared" si="2"/>
        <v/>
      </c>
      <c r="I15" s="97" t="str">
        <f t="shared" si="15"/>
        <v/>
      </c>
      <c r="J15" s="95"/>
      <c r="K15" s="98" t="str">
        <f t="shared" si="3"/>
        <v/>
      </c>
      <c r="L15" s="96" t="str">
        <f t="shared" si="4"/>
        <v/>
      </c>
      <c r="M15" s="99" t="str">
        <f t="shared" si="5"/>
        <v/>
      </c>
      <c r="N15" s="100" t="str">
        <f t="shared" si="6"/>
        <v/>
      </c>
      <c r="O15" s="339">
        <f t="shared" si="21"/>
        <v>9.3000000000000007</v>
      </c>
      <c r="P15" s="131"/>
      <c r="Q15" s="102"/>
      <c r="R15" s="140"/>
      <c r="S15" s="140"/>
      <c r="T15" s="156" t="str">
        <f t="shared" ref="T15:T17" si="22">IF(ISBLANK(C15),"",VLOOKUP(C15,各艇データ,3,FALSE))</f>
        <v/>
      </c>
      <c r="U15" s="157" t="str">
        <f t="shared" ref="U15:U17" si="23">IF(ISBLANK(C15),"",VLOOKUP(C15,各艇データ,4,FALSE))</f>
        <v/>
      </c>
      <c r="V15" s="318" t="str">
        <f t="shared" ref="V15:V17" si="24">IF(ISBLANK(C15),"",VLOOKUP(C15,各艇データ,5,FALSE))</f>
        <v/>
      </c>
      <c r="W15" s="310" t="str">
        <f t="shared" si="11"/>
        <v/>
      </c>
      <c r="X15" s="311" t="str">
        <f t="shared" si="12"/>
        <v/>
      </c>
      <c r="Y15" s="415" t="str">
        <f t="shared" si="13"/>
        <v/>
      </c>
      <c r="Z15" s="159" t="str">
        <f t="shared" si="14"/>
        <v/>
      </c>
      <c r="AA15" s="148"/>
      <c r="AB15" s="160">
        <f t="shared" si="16"/>
        <v>7</v>
      </c>
      <c r="AC15" s="155">
        <f t="shared" si="20"/>
        <v>9.3333333333333339</v>
      </c>
      <c r="AD15" s="155">
        <f t="shared" si="17"/>
        <v>11.666666666666666</v>
      </c>
      <c r="AE15" s="155">
        <f t="shared" si="18"/>
        <v>14</v>
      </c>
      <c r="AF15" s="384">
        <f t="shared" si="19"/>
        <v>18.666666666666668</v>
      </c>
    </row>
    <row r="16" spans="1:32" ht="14" x14ac:dyDescent="0.2">
      <c r="A16" s="67"/>
      <c r="B16" s="103">
        <v>10</v>
      </c>
      <c r="C16" s="104"/>
      <c r="D16" s="105" t="str">
        <f t="shared" si="0"/>
        <v/>
      </c>
      <c r="E16" s="170" t="str">
        <f t="shared" si="1"/>
        <v/>
      </c>
      <c r="F16" s="106">
        <v>10</v>
      </c>
      <c r="G16" s="107"/>
      <c r="H16" s="104" t="str">
        <f t="shared" si="2"/>
        <v/>
      </c>
      <c r="I16" s="117" t="str">
        <f t="shared" si="15"/>
        <v/>
      </c>
      <c r="J16" s="106"/>
      <c r="K16" s="119" t="str">
        <f t="shared" si="3"/>
        <v/>
      </c>
      <c r="L16" s="107" t="str">
        <f t="shared" si="4"/>
        <v/>
      </c>
      <c r="M16" s="120" t="str">
        <f t="shared" si="5"/>
        <v/>
      </c>
      <c r="N16" s="121" t="str">
        <f t="shared" si="6"/>
        <v/>
      </c>
      <c r="O16" s="389">
        <f t="shared" si="21"/>
        <v>8</v>
      </c>
      <c r="P16" s="390"/>
      <c r="Q16" s="116"/>
      <c r="R16" s="140"/>
      <c r="S16" s="140"/>
      <c r="T16" s="156" t="str">
        <f t="shared" si="22"/>
        <v/>
      </c>
      <c r="U16" s="157" t="str">
        <f t="shared" si="23"/>
        <v/>
      </c>
      <c r="V16" s="318" t="str">
        <f t="shared" si="24"/>
        <v/>
      </c>
      <c r="W16" s="310" t="str">
        <f t="shared" si="11"/>
        <v/>
      </c>
      <c r="X16" s="311" t="str">
        <f t="shared" si="12"/>
        <v/>
      </c>
      <c r="Y16" s="415" t="str">
        <f t="shared" si="13"/>
        <v/>
      </c>
      <c r="Z16" s="159" t="str">
        <f t="shared" si="14"/>
        <v/>
      </c>
      <c r="AA16" s="148"/>
      <c r="AB16" s="160">
        <f t="shared" si="16"/>
        <v>6</v>
      </c>
      <c r="AC16" s="155">
        <f t="shared" si="20"/>
        <v>8</v>
      </c>
      <c r="AD16" s="155">
        <f t="shared" si="17"/>
        <v>10</v>
      </c>
      <c r="AE16" s="155">
        <f t="shared" si="18"/>
        <v>12</v>
      </c>
      <c r="AF16" s="384">
        <f t="shared" si="19"/>
        <v>16</v>
      </c>
    </row>
    <row r="17" spans="1:32" ht="14" x14ac:dyDescent="0.2">
      <c r="A17" s="67"/>
      <c r="B17" s="82">
        <v>11</v>
      </c>
      <c r="C17" s="83"/>
      <c r="D17" s="134" t="str">
        <f t="shared" si="0"/>
        <v/>
      </c>
      <c r="E17" s="282" t="str">
        <f t="shared" si="1"/>
        <v/>
      </c>
      <c r="F17" s="286">
        <v>11</v>
      </c>
      <c r="G17" s="86"/>
      <c r="H17" s="122" t="str">
        <f t="shared" si="2"/>
        <v/>
      </c>
      <c r="I17" s="123" t="str">
        <f t="shared" si="15"/>
        <v/>
      </c>
      <c r="J17" s="124"/>
      <c r="K17" s="125" t="str">
        <f t="shared" si="3"/>
        <v/>
      </c>
      <c r="L17" s="126" t="str">
        <f t="shared" si="4"/>
        <v/>
      </c>
      <c r="M17" s="127" t="str">
        <f t="shared" si="5"/>
        <v/>
      </c>
      <c r="N17" s="128" t="str">
        <f t="shared" si="6"/>
        <v/>
      </c>
      <c r="O17" s="388">
        <f t="shared" si="21"/>
        <v>6.7</v>
      </c>
      <c r="P17" s="167"/>
      <c r="Q17" s="91"/>
      <c r="R17" s="140"/>
      <c r="S17" s="140"/>
      <c r="T17" s="156" t="str">
        <f t="shared" si="22"/>
        <v/>
      </c>
      <c r="U17" s="157" t="str">
        <f t="shared" si="23"/>
        <v/>
      </c>
      <c r="V17" s="318" t="str">
        <f t="shared" si="24"/>
        <v/>
      </c>
      <c r="W17" s="310" t="str">
        <f t="shared" si="11"/>
        <v/>
      </c>
      <c r="X17" s="311" t="str">
        <f t="shared" si="12"/>
        <v/>
      </c>
      <c r="Y17" s="415" t="str">
        <f t="shared" si="13"/>
        <v/>
      </c>
      <c r="Z17" s="159" t="str">
        <f t="shared" si="14"/>
        <v/>
      </c>
      <c r="AA17" s="148"/>
      <c r="AB17" s="160">
        <f t="shared" si="16"/>
        <v>5</v>
      </c>
      <c r="AC17" s="155">
        <f t="shared" si="20"/>
        <v>6.666666666666667</v>
      </c>
      <c r="AD17" s="155">
        <f t="shared" si="17"/>
        <v>8.3333333333333339</v>
      </c>
      <c r="AE17" s="155">
        <f t="shared" si="18"/>
        <v>10</v>
      </c>
      <c r="AF17" s="384">
        <f t="shared" si="19"/>
        <v>13.333333333333334</v>
      </c>
    </row>
    <row r="18" spans="1:32" ht="14" x14ac:dyDescent="0.2">
      <c r="A18" s="67"/>
      <c r="B18" s="92">
        <v>12</v>
      </c>
      <c r="C18" s="93"/>
      <c r="D18" s="94" t="str">
        <f t="shared" si="0"/>
        <v/>
      </c>
      <c r="E18" s="283" t="str">
        <f t="shared" si="1"/>
        <v/>
      </c>
      <c r="F18" s="287">
        <v>12</v>
      </c>
      <c r="G18" s="96"/>
      <c r="H18" s="93" t="str">
        <f t="shared" si="2"/>
        <v/>
      </c>
      <c r="I18" s="97" t="str">
        <f t="shared" si="15"/>
        <v/>
      </c>
      <c r="J18" s="95"/>
      <c r="K18" s="98" t="str">
        <f t="shared" si="3"/>
        <v/>
      </c>
      <c r="L18" s="96" t="str">
        <f t="shared" ref="L18:L22" si="25">IFERROR((K18-$K$7)/86400,"")</f>
        <v/>
      </c>
      <c r="M18" s="99" t="str">
        <f t="shared" ref="M18:M22" si="26">IFERROR((K18-$K$7)/$N$3,"")</f>
        <v/>
      </c>
      <c r="N18" s="100" t="str">
        <f t="shared" ref="N18:N22" si="27">IFERROR($N$3/(H18/3600),"")</f>
        <v/>
      </c>
      <c r="O18" s="339">
        <f t="shared" si="21"/>
        <v>5.3</v>
      </c>
      <c r="P18" s="131"/>
      <c r="Q18" s="102"/>
      <c r="R18" s="140"/>
      <c r="S18" s="140"/>
      <c r="T18" s="156" t="str">
        <f t="shared" si="8"/>
        <v/>
      </c>
      <c r="U18" s="157" t="str">
        <f t="shared" si="9"/>
        <v/>
      </c>
      <c r="V18" s="318" t="str">
        <f t="shared" si="10"/>
        <v/>
      </c>
      <c r="W18" s="310" t="str">
        <f t="shared" si="11"/>
        <v/>
      </c>
      <c r="X18" s="311" t="str">
        <f t="shared" si="12"/>
        <v/>
      </c>
      <c r="Y18" s="415" t="str">
        <f t="shared" si="13"/>
        <v/>
      </c>
      <c r="Z18" s="159" t="str">
        <f t="shared" si="14"/>
        <v/>
      </c>
      <c r="AA18" s="148"/>
      <c r="AB18" s="160">
        <f t="shared" si="16"/>
        <v>4</v>
      </c>
      <c r="AC18" s="155">
        <f t="shared" si="20"/>
        <v>5.333333333333333</v>
      </c>
      <c r="AD18" s="155">
        <f t="shared" si="17"/>
        <v>6.666666666666667</v>
      </c>
      <c r="AE18" s="155">
        <f t="shared" si="18"/>
        <v>8</v>
      </c>
      <c r="AF18" s="384">
        <f t="shared" si="19"/>
        <v>10.666666666666666</v>
      </c>
    </row>
    <row r="19" spans="1:32" ht="14" x14ac:dyDescent="0.2">
      <c r="A19" s="67"/>
      <c r="B19" s="92">
        <v>13</v>
      </c>
      <c r="C19" s="93"/>
      <c r="D19" s="94" t="str">
        <f t="shared" si="0"/>
        <v/>
      </c>
      <c r="E19" s="283" t="str">
        <f t="shared" si="1"/>
        <v/>
      </c>
      <c r="F19" s="287">
        <v>13</v>
      </c>
      <c r="G19" s="96"/>
      <c r="H19" s="93" t="str">
        <f t="shared" si="2"/>
        <v/>
      </c>
      <c r="I19" s="97" t="str">
        <f t="shared" si="15"/>
        <v/>
      </c>
      <c r="J19" s="95"/>
      <c r="K19" s="98" t="str">
        <f t="shared" si="3"/>
        <v/>
      </c>
      <c r="L19" s="96" t="str">
        <f t="shared" si="25"/>
        <v/>
      </c>
      <c r="M19" s="99" t="str">
        <f t="shared" si="26"/>
        <v/>
      </c>
      <c r="N19" s="100" t="str">
        <f t="shared" si="27"/>
        <v/>
      </c>
      <c r="O19" s="339">
        <f t="shared" si="21"/>
        <v>4</v>
      </c>
      <c r="P19" s="131"/>
      <c r="Q19" s="102"/>
      <c r="R19" s="140"/>
      <c r="S19" s="140"/>
      <c r="T19" s="156" t="str">
        <f t="shared" si="8"/>
        <v/>
      </c>
      <c r="U19" s="157" t="str">
        <f t="shared" si="9"/>
        <v/>
      </c>
      <c r="V19" s="318" t="str">
        <f t="shared" si="10"/>
        <v/>
      </c>
      <c r="W19" s="310" t="str">
        <f t="shared" si="11"/>
        <v/>
      </c>
      <c r="X19" s="311" t="str">
        <f t="shared" si="12"/>
        <v/>
      </c>
      <c r="Y19" s="415" t="str">
        <f t="shared" si="13"/>
        <v/>
      </c>
      <c r="Z19" s="159" t="str">
        <f t="shared" si="14"/>
        <v/>
      </c>
      <c r="AA19" s="148"/>
      <c r="AB19" s="160">
        <f t="shared" si="16"/>
        <v>3</v>
      </c>
      <c r="AC19" s="155">
        <f t="shared" si="20"/>
        <v>4</v>
      </c>
      <c r="AD19" s="155">
        <f t="shared" si="17"/>
        <v>5</v>
      </c>
      <c r="AE19" s="155">
        <f t="shared" si="18"/>
        <v>6</v>
      </c>
      <c r="AF19" s="384">
        <f t="shared" si="19"/>
        <v>8</v>
      </c>
    </row>
    <row r="20" spans="1:32" ht="14" x14ac:dyDescent="0.2">
      <c r="A20" s="67"/>
      <c r="B20" s="92">
        <v>14</v>
      </c>
      <c r="C20" s="93"/>
      <c r="D20" s="94" t="str">
        <f t="shared" si="0"/>
        <v/>
      </c>
      <c r="E20" s="283" t="str">
        <f t="shared" si="1"/>
        <v/>
      </c>
      <c r="F20" s="287">
        <v>14</v>
      </c>
      <c r="G20" s="96"/>
      <c r="H20" s="93" t="str">
        <f t="shared" si="2"/>
        <v/>
      </c>
      <c r="I20" s="97" t="str">
        <f t="shared" si="15"/>
        <v/>
      </c>
      <c r="J20" s="165"/>
      <c r="K20" s="98" t="str">
        <f t="shared" si="3"/>
        <v/>
      </c>
      <c r="L20" s="96" t="str">
        <f t="shared" si="25"/>
        <v/>
      </c>
      <c r="M20" s="99" t="str">
        <f t="shared" si="26"/>
        <v/>
      </c>
      <c r="N20" s="100" t="str">
        <f t="shared" si="27"/>
        <v/>
      </c>
      <c r="O20" s="339">
        <f t="shared" si="21"/>
        <v>2.7</v>
      </c>
      <c r="P20" s="167"/>
      <c r="Q20" s="102"/>
      <c r="R20" s="140"/>
      <c r="S20" s="140"/>
      <c r="T20" s="156" t="str">
        <f t="shared" si="8"/>
        <v/>
      </c>
      <c r="U20" s="157" t="str">
        <f t="shared" si="9"/>
        <v/>
      </c>
      <c r="V20" s="318" t="str">
        <f t="shared" si="10"/>
        <v/>
      </c>
      <c r="W20" s="310" t="str">
        <f t="shared" si="11"/>
        <v/>
      </c>
      <c r="X20" s="311" t="str">
        <f t="shared" si="12"/>
        <v/>
      </c>
      <c r="Y20" s="415" t="str">
        <f t="shared" si="13"/>
        <v/>
      </c>
      <c r="Z20" s="159" t="str">
        <f t="shared" si="14"/>
        <v/>
      </c>
      <c r="AA20" s="148"/>
      <c r="AB20" s="160">
        <f t="shared" si="16"/>
        <v>2</v>
      </c>
      <c r="AC20" s="155">
        <f t="shared" si="20"/>
        <v>2.6666666666666665</v>
      </c>
      <c r="AD20" s="155">
        <f t="shared" si="17"/>
        <v>3.3333333333333335</v>
      </c>
      <c r="AE20" s="155">
        <f t="shared" si="18"/>
        <v>4</v>
      </c>
      <c r="AF20" s="384">
        <f t="shared" si="19"/>
        <v>5.333333333333333</v>
      </c>
    </row>
    <row r="21" spans="1:32" ht="14" x14ac:dyDescent="0.2">
      <c r="A21" s="67"/>
      <c r="B21" s="103">
        <v>15</v>
      </c>
      <c r="C21" s="271"/>
      <c r="D21" s="105" t="str">
        <f t="shared" si="0"/>
        <v/>
      </c>
      <c r="E21" s="284" t="str">
        <f t="shared" si="1"/>
        <v/>
      </c>
      <c r="F21" s="288">
        <v>15</v>
      </c>
      <c r="G21" s="107"/>
      <c r="H21" s="104" t="str">
        <f t="shared" si="2"/>
        <v/>
      </c>
      <c r="I21" s="117" t="str">
        <f t="shared" si="15"/>
        <v/>
      </c>
      <c r="J21" s="106"/>
      <c r="K21" s="119" t="str">
        <f t="shared" si="3"/>
        <v/>
      </c>
      <c r="L21" s="107" t="str">
        <f t="shared" si="25"/>
        <v/>
      </c>
      <c r="M21" s="120" t="str">
        <f t="shared" si="26"/>
        <v/>
      </c>
      <c r="N21" s="121" t="str">
        <f t="shared" si="27"/>
        <v/>
      </c>
      <c r="O21" s="357">
        <f t="shared" si="21"/>
        <v>1.3</v>
      </c>
      <c r="P21" s="166"/>
      <c r="Q21" s="116"/>
      <c r="R21" s="140"/>
      <c r="S21" s="140"/>
      <c r="T21" s="156" t="str">
        <f t="shared" si="8"/>
        <v/>
      </c>
      <c r="U21" s="157" t="str">
        <f t="shared" si="9"/>
        <v/>
      </c>
      <c r="V21" s="318" t="str">
        <f t="shared" si="10"/>
        <v/>
      </c>
      <c r="W21" s="310" t="str">
        <f t="shared" si="11"/>
        <v/>
      </c>
      <c r="X21" s="311" t="str">
        <f t="shared" si="12"/>
        <v/>
      </c>
      <c r="Y21" s="415" t="str">
        <f t="shared" si="13"/>
        <v/>
      </c>
      <c r="Z21" s="159" t="str">
        <f t="shared" si="14"/>
        <v/>
      </c>
      <c r="AA21" s="148"/>
      <c r="AB21" s="160">
        <f t="shared" si="16"/>
        <v>1</v>
      </c>
      <c r="AC21" s="155">
        <f t="shared" si="20"/>
        <v>1.3333333333333333</v>
      </c>
      <c r="AD21" s="155">
        <f t="shared" si="17"/>
        <v>1.6666666666666667</v>
      </c>
      <c r="AE21" s="155">
        <f t="shared" si="18"/>
        <v>2</v>
      </c>
      <c r="AF21" s="384">
        <f t="shared" si="19"/>
        <v>2.6666666666666665</v>
      </c>
    </row>
    <row r="22" spans="1:32" ht="14" x14ac:dyDescent="0.2">
      <c r="A22" s="67"/>
      <c r="B22" s="129"/>
      <c r="C22" s="122"/>
      <c r="D22" s="134" t="str">
        <f t="shared" si="0"/>
        <v/>
      </c>
      <c r="E22" s="290" t="str">
        <f t="shared" si="1"/>
        <v/>
      </c>
      <c r="F22" s="289"/>
      <c r="G22" s="126"/>
      <c r="H22" s="122" t="str">
        <f t="shared" si="2"/>
        <v/>
      </c>
      <c r="I22" s="123" t="str">
        <f t="shared" si="15"/>
        <v/>
      </c>
      <c r="J22" s="265"/>
      <c r="K22" s="125" t="str">
        <f t="shared" si="3"/>
        <v/>
      </c>
      <c r="L22" s="126" t="str">
        <f t="shared" si="25"/>
        <v/>
      </c>
      <c r="M22" s="127" t="str">
        <f t="shared" si="26"/>
        <v/>
      </c>
      <c r="N22" s="128" t="str">
        <f t="shared" si="27"/>
        <v/>
      </c>
      <c r="O22" s="128" t="e">
        <f t="shared" si="21"/>
        <v>#VALUE!</v>
      </c>
      <c r="P22" s="172"/>
      <c r="Q22" s="130"/>
      <c r="R22" s="140"/>
      <c r="S22" s="140"/>
      <c r="T22" s="156" t="str">
        <f t="shared" si="8"/>
        <v/>
      </c>
      <c r="U22" s="157" t="str">
        <f t="shared" si="9"/>
        <v/>
      </c>
      <c r="V22" s="318" t="str">
        <f t="shared" si="10"/>
        <v/>
      </c>
      <c r="W22" s="310" t="str">
        <f t="shared" si="11"/>
        <v/>
      </c>
      <c r="X22" s="311" t="str">
        <f t="shared" si="12"/>
        <v/>
      </c>
      <c r="Y22" s="415" t="str">
        <f t="shared" si="13"/>
        <v/>
      </c>
      <c r="Z22" s="159" t="str">
        <f t="shared" si="14"/>
        <v/>
      </c>
      <c r="AA22" s="148"/>
      <c r="AB22" s="454" t="s">
        <v>270</v>
      </c>
      <c r="AC22" s="155" t="str">
        <f t="shared" si="20"/>
        <v/>
      </c>
      <c r="AD22" s="155" t="str">
        <f t="shared" si="17"/>
        <v/>
      </c>
      <c r="AE22" s="155" t="str">
        <f t="shared" si="18"/>
        <v/>
      </c>
      <c r="AF22" s="384" t="str">
        <f t="shared" si="19"/>
        <v/>
      </c>
    </row>
    <row r="23" spans="1:32" ht="14" x14ac:dyDescent="0.2">
      <c r="A23" s="67"/>
      <c r="B23" s="92"/>
      <c r="C23" s="93"/>
      <c r="D23" s="94" t="str">
        <f t="shared" si="0"/>
        <v/>
      </c>
      <c r="E23" s="285"/>
      <c r="F23" s="287"/>
      <c r="G23" s="96"/>
      <c r="H23" s="93"/>
      <c r="I23" s="97" t="str">
        <f t="shared" si="15"/>
        <v/>
      </c>
      <c r="J23" s="95"/>
      <c r="K23" s="98"/>
      <c r="L23" s="96"/>
      <c r="M23" s="99"/>
      <c r="N23" s="100"/>
      <c r="O23" s="100" t="e">
        <f t="shared" si="21"/>
        <v>#VALUE!</v>
      </c>
      <c r="P23" s="131"/>
      <c r="Q23" s="102"/>
      <c r="R23" s="140"/>
      <c r="S23" s="140"/>
      <c r="T23" s="156" t="str">
        <f t="shared" si="8"/>
        <v/>
      </c>
      <c r="U23" s="157" t="str">
        <f t="shared" si="9"/>
        <v/>
      </c>
      <c r="V23" s="318" t="str">
        <f t="shared" si="10"/>
        <v/>
      </c>
      <c r="W23" s="310" t="str">
        <f t="shared" si="11"/>
        <v/>
      </c>
      <c r="X23" s="311" t="str">
        <f t="shared" si="12"/>
        <v/>
      </c>
      <c r="Y23" s="415" t="str">
        <f t="shared" si="13"/>
        <v/>
      </c>
      <c r="Z23" s="159" t="str">
        <f t="shared" si="14"/>
        <v/>
      </c>
      <c r="AA23" s="148"/>
      <c r="AB23" s="160" t="str">
        <f t="shared" si="16"/>
        <v/>
      </c>
      <c r="AC23" s="155" t="str">
        <f t="shared" si="20"/>
        <v/>
      </c>
      <c r="AD23" s="155" t="str">
        <f t="shared" si="17"/>
        <v/>
      </c>
      <c r="AE23" s="155" t="str">
        <f t="shared" si="18"/>
        <v/>
      </c>
      <c r="AF23" s="384" t="str">
        <f t="shared" si="19"/>
        <v/>
      </c>
    </row>
    <row r="24" spans="1:32" ht="14" x14ac:dyDescent="0.2">
      <c r="A24" s="67"/>
      <c r="B24" s="129"/>
      <c r="C24" s="93"/>
      <c r="D24" s="94" t="str">
        <f t="shared" si="0"/>
        <v/>
      </c>
      <c r="E24" s="95"/>
      <c r="F24" s="95"/>
      <c r="G24" s="96"/>
      <c r="H24" s="93"/>
      <c r="I24" s="97" t="str">
        <f t="shared" si="15"/>
        <v/>
      </c>
      <c r="J24" s="95"/>
      <c r="K24" s="98"/>
      <c r="L24" s="96"/>
      <c r="M24" s="99"/>
      <c r="N24" s="100"/>
      <c r="O24" s="100" t="e">
        <f t="shared" si="21"/>
        <v>#VALUE!</v>
      </c>
      <c r="P24" s="132"/>
      <c r="Q24" s="102"/>
      <c r="R24" s="140"/>
      <c r="S24" s="140"/>
      <c r="T24" s="156" t="str">
        <f t="shared" si="8"/>
        <v/>
      </c>
      <c r="U24" s="157" t="str">
        <f t="shared" si="9"/>
        <v/>
      </c>
      <c r="V24" s="318" t="str">
        <f t="shared" si="10"/>
        <v/>
      </c>
      <c r="W24" s="310" t="str">
        <f t="shared" si="11"/>
        <v/>
      </c>
      <c r="X24" s="311" t="str">
        <f t="shared" si="12"/>
        <v/>
      </c>
      <c r="Y24" s="415" t="str">
        <f t="shared" si="13"/>
        <v/>
      </c>
      <c r="Z24" s="159" t="str">
        <f t="shared" si="14"/>
        <v/>
      </c>
      <c r="AA24" s="148"/>
      <c r="AB24" s="160" t="str">
        <f t="shared" si="16"/>
        <v/>
      </c>
      <c r="AC24" s="155" t="str">
        <f t="shared" si="20"/>
        <v/>
      </c>
      <c r="AD24" s="155" t="str">
        <f t="shared" si="17"/>
        <v/>
      </c>
      <c r="AE24" s="155" t="str">
        <f t="shared" si="18"/>
        <v/>
      </c>
      <c r="AF24" s="384" t="str">
        <f t="shared" si="19"/>
        <v/>
      </c>
    </row>
    <row r="25" spans="1:32" ht="14" x14ac:dyDescent="0.2">
      <c r="A25" s="67"/>
      <c r="B25" s="92"/>
      <c r="C25" s="93"/>
      <c r="D25" s="94" t="str">
        <f t="shared" si="0"/>
        <v/>
      </c>
      <c r="E25" s="95"/>
      <c r="F25" s="95"/>
      <c r="G25" s="96"/>
      <c r="H25" s="93"/>
      <c r="I25" s="97" t="str">
        <f t="shared" si="15"/>
        <v/>
      </c>
      <c r="J25" s="95"/>
      <c r="K25" s="98"/>
      <c r="L25" s="96"/>
      <c r="M25" s="99"/>
      <c r="N25" s="100"/>
      <c r="O25" s="100" t="e">
        <f t="shared" si="21"/>
        <v>#VALUE!</v>
      </c>
      <c r="P25" s="132"/>
      <c r="Q25" s="102"/>
      <c r="R25" s="140"/>
      <c r="S25" s="140"/>
      <c r="T25" s="156" t="str">
        <f t="shared" si="8"/>
        <v/>
      </c>
      <c r="U25" s="157" t="str">
        <f t="shared" si="9"/>
        <v/>
      </c>
      <c r="V25" s="318" t="str">
        <f t="shared" si="10"/>
        <v/>
      </c>
      <c r="W25" s="310" t="str">
        <f t="shared" si="11"/>
        <v/>
      </c>
      <c r="X25" s="311" t="str">
        <f t="shared" si="12"/>
        <v/>
      </c>
      <c r="Y25" s="415" t="str">
        <f t="shared" si="13"/>
        <v/>
      </c>
      <c r="Z25" s="159" t="str">
        <f t="shared" si="14"/>
        <v/>
      </c>
      <c r="AA25" s="148"/>
      <c r="AB25" s="160" t="str">
        <f t="shared" si="16"/>
        <v/>
      </c>
      <c r="AC25" s="155" t="str">
        <f t="shared" si="20"/>
        <v/>
      </c>
      <c r="AD25" s="155" t="str">
        <f t="shared" si="17"/>
        <v/>
      </c>
      <c r="AE25" s="155" t="str">
        <f t="shared" si="18"/>
        <v/>
      </c>
      <c r="AF25" s="384" t="str">
        <f t="shared" si="19"/>
        <v/>
      </c>
    </row>
    <row r="26" spans="1:32" ht="14" x14ac:dyDescent="0.2">
      <c r="A26" s="67"/>
      <c r="B26" s="103"/>
      <c r="C26" s="104"/>
      <c r="D26" s="105" t="str">
        <f t="shared" si="0"/>
        <v/>
      </c>
      <c r="E26" s="106"/>
      <c r="F26" s="106"/>
      <c r="G26" s="107"/>
      <c r="H26" s="104" t="str">
        <f>IFERROR(IF(G26-$Q$2&lt;=0,"",(G26-$Q$2)*86400),"")</f>
        <v/>
      </c>
      <c r="I26" s="117" t="str">
        <f t="shared" si="15"/>
        <v/>
      </c>
      <c r="J26" s="106"/>
      <c r="K26" s="119" t="str">
        <f>IFERROR(H26*(1+0.01*J26)-I26*$N$3,"")</f>
        <v/>
      </c>
      <c r="L26" s="107" t="str">
        <f>IFERROR((K26-$K$7)/86400,"")</f>
        <v/>
      </c>
      <c r="M26" s="120" t="str">
        <f>IFERROR((K26-$K$7)/$N$3,"")</f>
        <v/>
      </c>
      <c r="N26" s="121" t="str">
        <f>IFERROR($N$3/(H26/3600),"")</f>
        <v/>
      </c>
      <c r="O26" s="121" t="e">
        <f t="shared" si="21"/>
        <v>#VALUE!</v>
      </c>
      <c r="P26" s="133"/>
      <c r="Q26" s="116"/>
      <c r="R26" s="140"/>
      <c r="S26" s="140"/>
      <c r="T26" s="156" t="str">
        <f t="shared" si="8"/>
        <v/>
      </c>
      <c r="U26" s="157" t="str">
        <f t="shared" si="9"/>
        <v/>
      </c>
      <c r="V26" s="318" t="str">
        <f t="shared" si="10"/>
        <v/>
      </c>
      <c r="W26" s="310" t="str">
        <f t="shared" si="11"/>
        <v/>
      </c>
      <c r="X26" s="311" t="str">
        <f t="shared" si="12"/>
        <v/>
      </c>
      <c r="Y26" s="415" t="str">
        <f t="shared" si="13"/>
        <v/>
      </c>
      <c r="Z26" s="159" t="str">
        <f t="shared" si="14"/>
        <v/>
      </c>
      <c r="AA26" s="148"/>
      <c r="AB26" s="160" t="str">
        <f t="shared" si="16"/>
        <v/>
      </c>
      <c r="AC26" s="155" t="str">
        <f t="shared" si="20"/>
        <v/>
      </c>
      <c r="AD26" s="155" t="str">
        <f t="shared" si="17"/>
        <v/>
      </c>
      <c r="AE26" s="155" t="str">
        <f t="shared" si="18"/>
        <v/>
      </c>
      <c r="AF26" s="384" t="str">
        <f t="shared" si="19"/>
        <v/>
      </c>
    </row>
    <row r="27" spans="1:32" ht="14" x14ac:dyDescent="0.2">
      <c r="A27" s="67"/>
      <c r="B27" s="129"/>
      <c r="C27" s="122"/>
      <c r="D27" s="134" t="str">
        <f t="shared" si="0"/>
        <v/>
      </c>
      <c r="E27" s="124"/>
      <c r="F27" s="124"/>
      <c r="G27" s="126"/>
      <c r="H27" s="83" t="str">
        <f>IFERROR(IF(G27-$Q$2&lt;=0,"",(G27-$Q$2)*86400),"")</f>
        <v/>
      </c>
      <c r="I27" s="87" t="str">
        <f t="shared" si="15"/>
        <v/>
      </c>
      <c r="J27" s="85"/>
      <c r="K27" s="88" t="str">
        <f>IFERROR(H27*(1+0.01*J27)-I27*$N$3,"")</f>
        <v/>
      </c>
      <c r="L27" s="86" t="str">
        <f>IFERROR((K27-$K$7)/86400,"")</f>
        <v/>
      </c>
      <c r="M27" s="89" t="str">
        <f>IFERROR((K27-$K$7)/$N$3,"")</f>
        <v/>
      </c>
      <c r="N27" s="90" t="str">
        <f>IFERROR($N$3/(H27/3600),"")</f>
        <v/>
      </c>
      <c r="O27" s="128" t="e">
        <f t="shared" si="21"/>
        <v>#VALUE!</v>
      </c>
      <c r="P27" s="135"/>
      <c r="Q27" s="130"/>
      <c r="R27" s="140"/>
      <c r="S27" s="140"/>
      <c r="T27" s="156" t="str">
        <f t="shared" si="8"/>
        <v/>
      </c>
      <c r="U27" s="157" t="str">
        <f t="shared" si="9"/>
        <v/>
      </c>
      <c r="V27" s="318" t="str">
        <f t="shared" si="10"/>
        <v/>
      </c>
      <c r="W27" s="310" t="str">
        <f t="shared" si="11"/>
        <v/>
      </c>
      <c r="X27" s="311" t="str">
        <f t="shared" si="12"/>
        <v/>
      </c>
      <c r="Y27" s="415" t="str">
        <f t="shared" si="13"/>
        <v/>
      </c>
      <c r="Z27" s="159" t="str">
        <f t="shared" si="14"/>
        <v/>
      </c>
      <c r="AA27" s="148"/>
      <c r="AB27" s="160" t="str">
        <f t="shared" si="16"/>
        <v/>
      </c>
      <c r="AC27" s="155" t="str">
        <f t="shared" si="20"/>
        <v/>
      </c>
      <c r="AD27" s="155" t="str">
        <f t="shared" si="17"/>
        <v/>
      </c>
      <c r="AE27" s="380" t="str">
        <f t="shared" ref="AE27:AE31" si="28">IF(ISBLANK(C27),"",IFERROR(30*($P$3-$B27)/($P$3-1)+10,"30.0"))</f>
        <v/>
      </c>
      <c r="AF27" s="384" t="str">
        <f t="shared" si="19"/>
        <v/>
      </c>
    </row>
    <row r="28" spans="1:32" ht="14.25" customHeight="1" x14ac:dyDescent="0.2">
      <c r="A28" s="67"/>
      <c r="B28" s="92"/>
      <c r="C28" s="93"/>
      <c r="D28" s="94" t="str">
        <f t="shared" si="0"/>
        <v/>
      </c>
      <c r="E28" s="95"/>
      <c r="F28" s="95"/>
      <c r="G28" s="96"/>
      <c r="H28" s="93"/>
      <c r="I28" s="97" t="str">
        <f t="shared" si="15"/>
        <v/>
      </c>
      <c r="J28" s="95"/>
      <c r="K28" s="98"/>
      <c r="L28" s="96"/>
      <c r="M28" s="99"/>
      <c r="N28" s="100"/>
      <c r="O28" s="100" t="e">
        <f t="shared" si="21"/>
        <v>#VALUE!</v>
      </c>
      <c r="P28" s="136"/>
      <c r="Q28" s="102"/>
      <c r="R28" s="140"/>
      <c r="S28" s="140"/>
      <c r="T28" s="156" t="str">
        <f t="shared" si="8"/>
        <v/>
      </c>
      <c r="U28" s="157" t="str">
        <f t="shared" si="9"/>
        <v/>
      </c>
      <c r="V28" s="318" t="str">
        <f t="shared" si="10"/>
        <v/>
      </c>
      <c r="W28" s="310" t="str">
        <f t="shared" si="11"/>
        <v/>
      </c>
      <c r="X28" s="311" t="str">
        <f t="shared" si="12"/>
        <v/>
      </c>
      <c r="Y28" s="415" t="str">
        <f t="shared" si="13"/>
        <v/>
      </c>
      <c r="Z28" s="159" t="str">
        <f t="shared" si="14"/>
        <v/>
      </c>
      <c r="AA28" s="148"/>
      <c r="AB28" s="160" t="str">
        <f t="shared" si="16"/>
        <v/>
      </c>
      <c r="AC28" s="155" t="str">
        <f t="shared" si="20"/>
        <v/>
      </c>
      <c r="AD28" s="155" t="str">
        <f t="shared" si="17"/>
        <v/>
      </c>
      <c r="AE28" s="380" t="str">
        <f t="shared" si="28"/>
        <v/>
      </c>
      <c r="AF28" s="384" t="str">
        <f t="shared" si="19"/>
        <v/>
      </c>
    </row>
    <row r="29" spans="1:32" ht="14" x14ac:dyDescent="0.2">
      <c r="A29" s="67"/>
      <c r="B29" s="92"/>
      <c r="C29" s="93"/>
      <c r="D29" s="94" t="str">
        <f t="shared" si="0"/>
        <v/>
      </c>
      <c r="E29" s="95"/>
      <c r="F29" s="95"/>
      <c r="G29" s="96"/>
      <c r="H29" s="93"/>
      <c r="I29" s="97" t="str">
        <f t="shared" si="15"/>
        <v/>
      </c>
      <c r="J29" s="95"/>
      <c r="K29" s="98"/>
      <c r="L29" s="96"/>
      <c r="M29" s="99"/>
      <c r="N29" s="100"/>
      <c r="O29" s="100" t="e">
        <f t="shared" si="21"/>
        <v>#VALUE!</v>
      </c>
      <c r="P29" s="132"/>
      <c r="Q29" s="102"/>
      <c r="R29" s="140"/>
      <c r="S29" s="140"/>
      <c r="T29" s="156" t="str">
        <f t="shared" si="8"/>
        <v/>
      </c>
      <c r="U29" s="157" t="str">
        <f t="shared" si="9"/>
        <v/>
      </c>
      <c r="V29" s="318" t="str">
        <f t="shared" si="10"/>
        <v/>
      </c>
      <c r="W29" s="310" t="str">
        <f t="shared" si="11"/>
        <v/>
      </c>
      <c r="X29" s="311" t="str">
        <f t="shared" si="12"/>
        <v/>
      </c>
      <c r="Y29" s="415" t="str">
        <f t="shared" si="13"/>
        <v/>
      </c>
      <c r="Z29" s="159" t="str">
        <f t="shared" si="14"/>
        <v/>
      </c>
      <c r="AA29" s="148"/>
      <c r="AB29" s="160" t="str">
        <f t="shared" si="16"/>
        <v/>
      </c>
      <c r="AC29" s="155" t="str">
        <f t="shared" si="20"/>
        <v/>
      </c>
      <c r="AD29" s="155" t="str">
        <f t="shared" si="17"/>
        <v/>
      </c>
      <c r="AE29" s="380" t="str">
        <f t="shared" si="28"/>
        <v/>
      </c>
      <c r="AF29" s="384" t="str">
        <f t="shared" si="19"/>
        <v/>
      </c>
    </row>
    <row r="30" spans="1:32" ht="14.25" customHeight="1" x14ac:dyDescent="0.2">
      <c r="A30" s="67"/>
      <c r="B30" s="92"/>
      <c r="C30" s="93"/>
      <c r="D30" s="94" t="str">
        <f t="shared" si="0"/>
        <v/>
      </c>
      <c r="E30" s="95"/>
      <c r="F30" s="95"/>
      <c r="G30" s="96"/>
      <c r="H30" s="93"/>
      <c r="I30" s="97" t="str">
        <f t="shared" si="15"/>
        <v/>
      </c>
      <c r="J30" s="95"/>
      <c r="K30" s="98"/>
      <c r="L30" s="96"/>
      <c r="M30" s="99"/>
      <c r="N30" s="100"/>
      <c r="O30" s="100" t="e">
        <f t="shared" si="21"/>
        <v>#VALUE!</v>
      </c>
      <c r="P30" s="132"/>
      <c r="Q30" s="102"/>
      <c r="R30" s="140"/>
      <c r="S30" s="140"/>
      <c r="T30" s="156" t="str">
        <f t="shared" si="8"/>
        <v/>
      </c>
      <c r="U30" s="157" t="str">
        <f t="shared" si="9"/>
        <v/>
      </c>
      <c r="V30" s="318" t="str">
        <f t="shared" si="10"/>
        <v/>
      </c>
      <c r="W30" s="310" t="str">
        <f t="shared" si="11"/>
        <v/>
      </c>
      <c r="X30" s="311" t="str">
        <f t="shared" si="12"/>
        <v/>
      </c>
      <c r="Y30" s="415" t="str">
        <f t="shared" si="13"/>
        <v/>
      </c>
      <c r="Z30" s="159" t="str">
        <f t="shared" si="14"/>
        <v/>
      </c>
      <c r="AA30" s="148"/>
      <c r="AB30" s="160" t="str">
        <f t="shared" si="16"/>
        <v/>
      </c>
      <c r="AC30" s="155" t="str">
        <f t="shared" si="20"/>
        <v/>
      </c>
      <c r="AD30" s="155" t="str">
        <f t="shared" si="17"/>
        <v/>
      </c>
      <c r="AE30" s="380" t="str">
        <f t="shared" si="28"/>
        <v/>
      </c>
      <c r="AF30" s="384" t="str">
        <f t="shared" si="19"/>
        <v/>
      </c>
    </row>
    <row r="31" spans="1:32" ht="14.5" thickBot="1" x14ac:dyDescent="0.25">
      <c r="A31" s="67"/>
      <c r="B31" s="92"/>
      <c r="C31" s="93"/>
      <c r="D31" s="105" t="str">
        <f t="shared" si="0"/>
        <v/>
      </c>
      <c r="E31" s="106"/>
      <c r="F31" s="95"/>
      <c r="G31" s="96"/>
      <c r="H31" s="104" t="str">
        <f>IFERROR(IF(G31-$Q$2&lt;=0,"",(G31-$Q$2)*86400),"")</f>
        <v/>
      </c>
      <c r="I31" s="117" t="str">
        <f t="shared" si="15"/>
        <v/>
      </c>
      <c r="J31" s="106"/>
      <c r="K31" s="119" t="str">
        <f>IFERROR(H31*(1+0.01*J31)-I31*$N$3,"")</f>
        <v/>
      </c>
      <c r="L31" s="107" t="str">
        <f>IFERROR((K31-$K$7)/86400,"")</f>
        <v/>
      </c>
      <c r="M31" s="120" t="str">
        <f>IFERROR((K31-$K$7)/$N$3,"")</f>
        <v/>
      </c>
      <c r="N31" s="121" t="str">
        <f>IFERROR($N$3/(H31/3600),"")</f>
        <v/>
      </c>
      <c r="O31" s="121" t="e">
        <f t="shared" si="21"/>
        <v>#VALUE!</v>
      </c>
      <c r="P31" s="133"/>
      <c r="Q31" s="116"/>
      <c r="R31" s="140"/>
      <c r="S31" s="140"/>
      <c r="T31" s="161" t="str">
        <f t="shared" si="8"/>
        <v/>
      </c>
      <c r="U31" s="162" t="str">
        <f t="shared" si="9"/>
        <v/>
      </c>
      <c r="V31" s="315" t="str">
        <f t="shared" si="10"/>
        <v/>
      </c>
      <c r="W31" s="319" t="str">
        <f t="shared" si="11"/>
        <v/>
      </c>
      <c r="X31" s="313" t="str">
        <f t="shared" si="12"/>
        <v/>
      </c>
      <c r="Y31" s="416" t="str">
        <f t="shared" si="13"/>
        <v/>
      </c>
      <c r="Z31" s="314" t="str">
        <f t="shared" si="14"/>
        <v/>
      </c>
      <c r="AA31" s="148"/>
      <c r="AB31" s="385" t="str">
        <f t="shared" si="16"/>
        <v/>
      </c>
      <c r="AC31" s="386" t="str">
        <f t="shared" si="20"/>
        <v/>
      </c>
      <c r="AD31" s="386" t="str">
        <f t="shared" si="17"/>
        <v/>
      </c>
      <c r="AE31" s="381" t="str">
        <f t="shared" si="28"/>
        <v/>
      </c>
      <c r="AF31" s="387" t="str">
        <f t="shared" si="19"/>
        <v/>
      </c>
    </row>
    <row r="32" spans="1:32" ht="15" customHeight="1" x14ac:dyDescent="0.25">
      <c r="A32" s="67"/>
      <c r="B32" s="568" t="s">
        <v>176</v>
      </c>
      <c r="C32" s="569"/>
      <c r="D32" s="570"/>
      <c r="E32" s="137" t="s">
        <v>137</v>
      </c>
      <c r="F32" s="602" t="s">
        <v>202</v>
      </c>
      <c r="G32" s="559"/>
      <c r="H32" s="579" t="s">
        <v>227</v>
      </c>
      <c r="I32" s="580"/>
      <c r="J32" s="580"/>
      <c r="K32" s="580"/>
      <c r="L32" s="580"/>
      <c r="M32" s="580"/>
      <c r="N32" s="580"/>
      <c r="O32" s="580"/>
      <c r="P32" s="580"/>
      <c r="Q32" s="581"/>
      <c r="R32" s="59"/>
      <c r="S32" s="59"/>
      <c r="T32" s="143"/>
      <c r="U32" s="143"/>
      <c r="V32" s="143"/>
      <c r="Y32" s="143"/>
      <c r="Z32" s="143"/>
      <c r="AA32" s="143"/>
    </row>
    <row r="33" spans="1:32" ht="15" customHeight="1" x14ac:dyDescent="0.25">
      <c r="A33" s="67"/>
      <c r="B33" s="571"/>
      <c r="C33" s="572"/>
      <c r="D33" s="573"/>
      <c r="E33" s="138" t="s">
        <v>138</v>
      </c>
      <c r="F33" s="560" t="s">
        <v>203</v>
      </c>
      <c r="G33" s="561"/>
      <c r="H33" s="582"/>
      <c r="I33" s="583"/>
      <c r="J33" s="583"/>
      <c r="K33" s="583"/>
      <c r="L33" s="583"/>
      <c r="M33" s="583"/>
      <c r="N33" s="583"/>
      <c r="O33" s="583"/>
      <c r="P33" s="583"/>
      <c r="Q33" s="584"/>
      <c r="R33" s="59"/>
      <c r="S33" s="59"/>
      <c r="T33" s="143"/>
      <c r="U33" s="143"/>
      <c r="V33" s="143"/>
      <c r="Y33" s="143"/>
      <c r="Z33" s="143"/>
      <c r="AA33" s="143"/>
      <c r="AB33" s="454" t="s">
        <v>270</v>
      </c>
      <c r="AC33" s="454"/>
      <c r="AD33" s="454"/>
      <c r="AE33" s="454"/>
      <c r="AF33" s="454"/>
    </row>
    <row r="34" spans="1:32" ht="23.25" customHeight="1" x14ac:dyDescent="0.25">
      <c r="A34" s="67"/>
      <c r="B34" s="574"/>
      <c r="C34" s="575"/>
      <c r="D34" s="576"/>
      <c r="E34" s="138" t="s">
        <v>139</v>
      </c>
      <c r="F34" s="560"/>
      <c r="G34" s="561"/>
      <c r="H34" s="582"/>
      <c r="I34" s="583"/>
      <c r="J34" s="583"/>
      <c r="K34" s="583"/>
      <c r="L34" s="583"/>
      <c r="M34" s="583"/>
      <c r="N34" s="583"/>
      <c r="O34" s="583"/>
      <c r="P34" s="583"/>
      <c r="Q34" s="584"/>
      <c r="R34" s="59"/>
      <c r="S34" s="59"/>
      <c r="T34" s="143"/>
      <c r="U34" s="143"/>
      <c r="V34" s="143"/>
      <c r="Y34" s="143"/>
      <c r="Z34" s="143"/>
      <c r="AA34" s="143"/>
    </row>
    <row r="35" spans="1:32" ht="22.5" customHeight="1" x14ac:dyDescent="0.25">
      <c r="A35" s="67"/>
      <c r="B35" s="590" t="s">
        <v>177</v>
      </c>
      <c r="C35" s="591"/>
      <c r="D35" s="592"/>
      <c r="E35" s="562" t="s">
        <v>141</v>
      </c>
      <c r="F35" s="560" t="str">
        <f>参照ﾃﾞｰﾀ!AB7</f>
        <v>ネプチューン</v>
      </c>
      <c r="G35" s="561"/>
      <c r="H35" s="582"/>
      <c r="I35" s="583"/>
      <c r="J35" s="583"/>
      <c r="K35" s="583"/>
      <c r="L35" s="583"/>
      <c r="M35" s="583"/>
      <c r="N35" s="583"/>
      <c r="O35" s="583"/>
      <c r="P35" s="583"/>
      <c r="Q35" s="584"/>
      <c r="R35" s="59"/>
      <c r="S35" s="59"/>
      <c r="T35" s="143"/>
      <c r="U35" s="143"/>
      <c r="V35" s="143"/>
      <c r="Y35" s="143"/>
      <c r="Z35" s="143"/>
      <c r="AA35" s="143"/>
    </row>
    <row r="36" spans="1:32" ht="15" customHeight="1" x14ac:dyDescent="0.25">
      <c r="A36" s="67"/>
      <c r="B36" s="593"/>
      <c r="C36" s="594"/>
      <c r="D36" s="595"/>
      <c r="E36" s="601"/>
      <c r="F36" s="560"/>
      <c r="G36" s="561"/>
      <c r="H36" s="582"/>
      <c r="I36" s="583"/>
      <c r="J36" s="583"/>
      <c r="K36" s="583"/>
      <c r="L36" s="583"/>
      <c r="M36" s="583"/>
      <c r="N36" s="583"/>
      <c r="O36" s="583"/>
      <c r="P36" s="583"/>
      <c r="Q36" s="584"/>
      <c r="R36" s="59"/>
      <c r="S36" s="59"/>
      <c r="T36" s="143"/>
      <c r="U36" s="143"/>
      <c r="V36" s="143"/>
      <c r="Y36" s="143"/>
      <c r="Z36" s="143"/>
      <c r="AA36" s="143"/>
    </row>
    <row r="37" spans="1:32" ht="15" customHeight="1" x14ac:dyDescent="0.25">
      <c r="A37" s="67"/>
      <c r="B37" s="593"/>
      <c r="C37" s="594"/>
      <c r="D37" s="595"/>
      <c r="E37" s="137" t="s">
        <v>140</v>
      </c>
      <c r="F37" s="558">
        <f>参照ﾃﾞｰﾀ!J8</f>
        <v>46159</v>
      </c>
      <c r="G37" s="559"/>
      <c r="H37" s="582"/>
      <c r="I37" s="583"/>
      <c r="J37" s="583"/>
      <c r="K37" s="583"/>
      <c r="L37" s="583"/>
      <c r="M37" s="583"/>
      <c r="N37" s="583"/>
      <c r="O37" s="583"/>
      <c r="P37" s="583"/>
      <c r="Q37" s="584"/>
      <c r="R37" s="59"/>
      <c r="S37" s="59"/>
      <c r="T37" s="143"/>
      <c r="U37" s="143"/>
      <c r="V37" s="143"/>
      <c r="Y37" s="143"/>
      <c r="Z37" s="143"/>
      <c r="AA37" s="143"/>
    </row>
    <row r="38" spans="1:32" ht="15" customHeight="1" x14ac:dyDescent="0.25">
      <c r="A38" s="67"/>
      <c r="B38" s="593"/>
      <c r="C38" s="594"/>
      <c r="D38" s="595"/>
      <c r="E38" s="138" t="s">
        <v>153</v>
      </c>
      <c r="F38" s="560" t="str">
        <f>参照ﾃﾞｰﾀ!AA8</f>
        <v>初島</v>
      </c>
      <c r="G38" s="561"/>
      <c r="H38" s="582"/>
      <c r="I38" s="583"/>
      <c r="J38" s="583"/>
      <c r="K38" s="583"/>
      <c r="L38" s="583"/>
      <c r="M38" s="583"/>
      <c r="N38" s="583"/>
      <c r="O38" s="583"/>
      <c r="P38" s="583"/>
      <c r="Q38" s="584"/>
      <c r="R38" s="59"/>
      <c r="S38" s="59"/>
      <c r="T38" s="143"/>
      <c r="U38" s="143"/>
      <c r="V38" s="143"/>
      <c r="Y38" s="143"/>
      <c r="Z38" s="143"/>
      <c r="AA38" s="143"/>
    </row>
    <row r="39" spans="1:32" ht="15" customHeight="1" x14ac:dyDescent="0.25">
      <c r="A39" s="67"/>
      <c r="B39" s="593"/>
      <c r="C39" s="594"/>
      <c r="D39" s="595"/>
      <c r="E39" s="562" t="s">
        <v>141</v>
      </c>
      <c r="F39" s="560" t="str">
        <f>参照ﾃﾞｰﾀ!AB8</f>
        <v>かまくら</v>
      </c>
      <c r="G39" s="561"/>
      <c r="H39" s="582"/>
      <c r="I39" s="583"/>
      <c r="J39" s="583"/>
      <c r="K39" s="583"/>
      <c r="L39" s="583"/>
      <c r="M39" s="583"/>
      <c r="N39" s="583"/>
      <c r="O39" s="583"/>
      <c r="P39" s="583"/>
      <c r="Q39" s="584"/>
      <c r="R39" s="59"/>
      <c r="S39" s="59"/>
      <c r="T39" s="143"/>
      <c r="U39" s="143"/>
      <c r="V39" s="143"/>
      <c r="Y39" s="143"/>
      <c r="Z39" s="143"/>
      <c r="AA39" s="143"/>
    </row>
    <row r="40" spans="1:32" ht="15" customHeight="1" x14ac:dyDescent="0.25">
      <c r="A40" s="67"/>
      <c r="B40" s="593"/>
      <c r="C40" s="594"/>
      <c r="D40" s="595"/>
      <c r="E40" s="562"/>
      <c r="F40" s="560"/>
      <c r="G40" s="561"/>
      <c r="H40" s="582"/>
      <c r="I40" s="583"/>
      <c r="J40" s="583"/>
      <c r="K40" s="583"/>
      <c r="L40" s="583"/>
      <c r="M40" s="583"/>
      <c r="N40" s="583"/>
      <c r="O40" s="583"/>
      <c r="P40" s="583"/>
      <c r="Q40" s="584"/>
      <c r="R40" s="59"/>
      <c r="S40" s="59"/>
      <c r="T40" s="143"/>
      <c r="U40" s="143"/>
      <c r="V40" s="143"/>
      <c r="Y40" s="143"/>
      <c r="Z40" s="143"/>
      <c r="AA40" s="143"/>
    </row>
    <row r="41" spans="1:32" ht="11.25" customHeight="1" thickBot="1" x14ac:dyDescent="0.3">
      <c r="A41" s="67"/>
      <c r="B41" s="596"/>
      <c r="C41" s="597"/>
      <c r="D41" s="598"/>
      <c r="E41" s="139"/>
      <c r="F41" s="599"/>
      <c r="G41" s="600"/>
      <c r="H41" s="585"/>
      <c r="I41" s="586"/>
      <c r="J41" s="586"/>
      <c r="K41" s="586"/>
      <c r="L41" s="586"/>
      <c r="M41" s="586"/>
      <c r="N41" s="586"/>
      <c r="O41" s="586"/>
      <c r="P41" s="586"/>
      <c r="Q41" s="587"/>
      <c r="R41" s="59"/>
      <c r="S41" s="59"/>
      <c r="T41" s="143"/>
      <c r="U41" s="143"/>
      <c r="V41" s="143"/>
      <c r="W41" s="143"/>
      <c r="X41" s="143"/>
      <c r="Y41" s="143"/>
      <c r="Z41" s="143"/>
      <c r="AA41" s="143"/>
    </row>
    <row r="42" spans="1:32" x14ac:dyDescent="0.2">
      <c r="A42" s="67"/>
      <c r="B42" s="67"/>
      <c r="C42" s="67"/>
      <c r="D42" s="67"/>
      <c r="E42" s="67"/>
      <c r="F42" s="67"/>
      <c r="G42" s="67"/>
      <c r="H42" s="67" t="s">
        <v>200</v>
      </c>
      <c r="I42" s="67"/>
      <c r="J42" s="67"/>
      <c r="K42" s="67"/>
      <c r="L42" s="67"/>
      <c r="M42" s="67"/>
      <c r="N42" s="67"/>
      <c r="O42" s="67"/>
      <c r="P42" s="67"/>
      <c r="Q42" s="67"/>
      <c r="R42" s="67"/>
      <c r="S42" s="67"/>
    </row>
  </sheetData>
  <sheetProtection algorithmName="SHA-512" hashValue="mohEZBB0Em/fmxkuQVStCyJDM2Xm5I+J2vMAofxsJQFP2/cte04R1CSxognJ4NyBY6h5bvasyqwwZhIUNlxmpA==" saltValue="uL9FMAeLGFkXFO4MCe2h0w==" spinCount="100000" sheet="1" objects="1" scenarios="1"/>
  <sortState xmlns:xlrd2="http://schemas.microsoft.com/office/spreadsheetml/2017/richdata2" ref="C7:K21">
    <sortCondition ref="K7:K21"/>
  </sortState>
  <mergeCells count="19">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 ref="F40:G40"/>
    <mergeCell ref="D2:F2"/>
    <mergeCell ref="E3:I3"/>
  </mergeCells>
  <phoneticPr fontId="70"/>
  <dataValidations count="9">
    <dataValidation type="list" allowBlank="1" showInputMessage="1" showErrorMessage="1" sqref="P2 F37:G37" xr:uid="{00000000-0002-0000-0300-000000000000}">
      <formula1>開催日</formula1>
    </dataValidation>
    <dataValidation type="list" allowBlank="1" showInputMessage="1" showErrorMessage="1" sqref="Q2" xr:uid="{00000000-0002-0000-0300-000001000000}">
      <formula1>時刻</formula1>
    </dataValidation>
    <dataValidation type="list" allowBlank="1" showInputMessage="1" showErrorMessage="1" sqref="J3:K3" xr:uid="{00000000-0002-0000-0300-000002000000}">
      <formula1>暫定</formula1>
    </dataValidation>
    <dataValidation type="list" allowBlank="1" showInputMessage="1" showErrorMessage="1" sqref="G2" xr:uid="{00000000-0002-0000-0300-000003000000}">
      <formula1>月</formula1>
    </dataValidation>
    <dataValidation type="list" allowBlank="1" showInputMessage="1" showErrorMessage="1" sqref="N2 F38:G38" xr:uid="{00000000-0002-0000-0300-000004000000}">
      <formula1>コース</formula1>
    </dataValidation>
    <dataValidation type="list" showInputMessage="1" showErrorMessage="1" sqref="E3" xr:uid="{00000000-0002-0000-0300-000005000000}">
      <formula1>レース名</formula1>
    </dataValidation>
    <dataValidation type="list" allowBlank="1" showInputMessage="1" showErrorMessage="1" sqref="I6" xr:uid="{00000000-0002-0000-0300-000006000000}">
      <formula1>ＴＡ</formula1>
    </dataValidation>
    <dataValidation type="list" allowBlank="1" showInputMessage="1" showErrorMessage="1" sqref="D3" xr:uid="{00000000-0002-0000-0300-000007000000}">
      <formula1>レース番号</formula1>
    </dataValidation>
    <dataValidation type="list" allowBlank="1" showInputMessage="1" showErrorMessage="1" sqref="O6" xr:uid="{1D066EBD-B0D1-48F8-8F13-F974A77CC553}">
      <formula1>$AB$6:$AF$6</formula1>
    </dataValidation>
  </dataValidations>
  <pageMargins left="0.31496062992125984" right="0" top="0.35433070866141736" bottom="0.19685039370078741" header="0" footer="0"/>
  <pageSetup paperSize="9" scale="9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42"/>
  <sheetViews>
    <sheetView zoomScale="85" zoomScaleNormal="85" workbookViewId="0">
      <selection activeCell="K18" sqref="K18"/>
    </sheetView>
  </sheetViews>
  <sheetFormatPr defaultColWidth="9" defaultRowHeight="13" x14ac:dyDescent="0.2"/>
  <cols>
    <col min="1" max="1" width="1.7265625" style="142" customWidth="1"/>
    <col min="2" max="2" width="5" style="142" customWidth="1"/>
    <col min="3" max="3" width="7" style="142" customWidth="1"/>
    <col min="4" max="4" width="18" style="142" customWidth="1"/>
    <col min="5" max="5" width="8" style="142" hidden="1" customWidth="1"/>
    <col min="6" max="6" width="5" style="142" customWidth="1"/>
    <col min="7" max="7" width="10.90625" style="142" customWidth="1"/>
    <col min="8" max="8" width="8.36328125" style="142" customWidth="1"/>
    <col min="9" max="9" width="8.6328125" style="142" customWidth="1"/>
    <col min="10" max="10" width="5" style="142" customWidth="1"/>
    <col min="11" max="11" width="8.453125" style="142" customWidth="1"/>
    <col min="12" max="12" width="10.6328125" style="142" bestFit="1" customWidth="1"/>
    <col min="13" max="13" width="9.453125" style="142" customWidth="1"/>
    <col min="14" max="14" width="7.90625" style="142" customWidth="1"/>
    <col min="15" max="15" width="8" style="142" customWidth="1"/>
    <col min="16" max="16" width="12" style="142" bestFit="1" customWidth="1"/>
    <col min="17" max="17" width="11.6328125" style="142" customWidth="1"/>
    <col min="18" max="18" width="2.26953125" style="142" customWidth="1"/>
    <col min="19" max="20" width="7.6328125" style="142" hidden="1" customWidth="1"/>
    <col min="21" max="21" width="3" style="142" customWidth="1"/>
    <col min="22" max="22" width="8.26953125" style="142" customWidth="1"/>
    <col min="23" max="25" width="7.6328125" style="142" customWidth="1"/>
    <col min="26" max="26" width="4.453125" style="142" customWidth="1"/>
    <col min="27" max="29" width="8" style="142" customWidth="1"/>
    <col min="30" max="16384" width="9" style="142"/>
  </cols>
  <sheetData>
    <row r="1" spans="1:31" ht="9.75" customHeight="1" thickBot="1" x14ac:dyDescent="0.25">
      <c r="A1" s="67"/>
      <c r="B1" s="67"/>
      <c r="C1" s="67"/>
      <c r="D1" s="67"/>
      <c r="E1" s="67"/>
      <c r="F1" s="67"/>
      <c r="G1" s="67"/>
      <c r="H1" s="67"/>
      <c r="I1" s="67"/>
      <c r="J1" s="67"/>
      <c r="K1" s="67"/>
      <c r="L1" s="67"/>
      <c r="M1" s="67"/>
      <c r="N1" s="67"/>
      <c r="O1" s="67"/>
      <c r="P1" s="67"/>
      <c r="Q1" s="67"/>
      <c r="R1" s="67"/>
    </row>
    <row r="2" spans="1:31" ht="21" x14ac:dyDescent="0.3">
      <c r="A2" s="67"/>
      <c r="B2" s="59"/>
      <c r="C2" s="60"/>
      <c r="D2" s="563" t="str">
        <f>参照ﾃﾞｰﾀ!F4</f>
        <v>2026年</v>
      </c>
      <c r="E2" s="563"/>
      <c r="F2" s="563"/>
      <c r="G2" s="61" t="s">
        <v>145</v>
      </c>
      <c r="H2" s="62"/>
      <c r="I2" s="63"/>
      <c r="J2" s="59"/>
      <c r="K2" s="64"/>
      <c r="L2" s="59"/>
      <c r="M2" s="65" t="s">
        <v>33</v>
      </c>
      <c r="N2" s="457" t="str">
        <f>参照ﾃﾞｰﾀ!AA8</f>
        <v>初島</v>
      </c>
      <c r="O2" s="66" t="s">
        <v>35</v>
      </c>
      <c r="P2" s="183">
        <f>参照ﾃﾞｰﾀ!J8</f>
        <v>46159</v>
      </c>
      <c r="Q2" s="507">
        <v>0</v>
      </c>
      <c r="R2" s="59"/>
      <c r="S2" s="144" t="s">
        <v>2</v>
      </c>
      <c r="T2" s="143"/>
      <c r="U2" s="143"/>
      <c r="V2" s="144" t="str">
        <f>参照ＴＡ!AL3</f>
        <v>2026年</v>
      </c>
      <c r="W2" s="144" t="str">
        <f>参照ＴＡ!AN3</f>
        <v>5月</v>
      </c>
      <c r="X2" s="143"/>
      <c r="Y2" s="143"/>
      <c r="Z2" s="143"/>
    </row>
    <row r="3" spans="1:31" ht="21.75" customHeight="1" thickBot="1" x14ac:dyDescent="0.35">
      <c r="A3" s="67"/>
      <c r="B3" s="59"/>
      <c r="C3" s="67"/>
      <c r="D3" s="68" t="str">
        <f>参照ﾃﾞｰﾀ!M8</f>
        <v>＃620</v>
      </c>
      <c r="E3" s="603" t="s">
        <v>45</v>
      </c>
      <c r="F3" s="603"/>
      <c r="G3" s="603"/>
      <c r="H3" s="603"/>
      <c r="I3" s="603"/>
      <c r="J3" s="565" t="s">
        <v>36</v>
      </c>
      <c r="K3" s="565"/>
      <c r="L3" s="59"/>
      <c r="M3" s="69" t="s">
        <v>56</v>
      </c>
      <c r="N3" s="70">
        <f>IF(ISBLANK(N2),"",VLOOKUP(N2,コース・距離,2,FALSE))</f>
        <v>47.4</v>
      </c>
      <c r="O3" s="71" t="s">
        <v>0</v>
      </c>
      <c r="P3" s="456">
        <v>15</v>
      </c>
      <c r="Q3" s="72" t="s">
        <v>1</v>
      </c>
      <c r="R3" s="59"/>
      <c r="S3" s="143" t="s">
        <v>168</v>
      </c>
      <c r="T3" s="143"/>
      <c r="U3" s="143"/>
      <c r="V3" s="144" t="s">
        <v>2</v>
      </c>
      <c r="W3" s="143"/>
      <c r="X3" s="143"/>
      <c r="Y3" s="143"/>
      <c r="Z3" s="143"/>
      <c r="AA3" s="145" t="s">
        <v>57</v>
      </c>
    </row>
    <row r="4" spans="1:31" ht="7.5" customHeight="1" thickBot="1" x14ac:dyDescent="0.3">
      <c r="A4" s="67"/>
      <c r="B4" s="59"/>
      <c r="C4" s="59"/>
      <c r="D4" s="59"/>
      <c r="E4" s="59"/>
      <c r="F4" s="59"/>
      <c r="G4" s="59"/>
      <c r="H4" s="59"/>
      <c r="I4" s="59"/>
      <c r="J4" s="59"/>
      <c r="K4" s="59"/>
      <c r="L4" s="59"/>
      <c r="M4" s="59"/>
      <c r="N4" s="59"/>
      <c r="O4" s="59"/>
      <c r="P4" s="59"/>
      <c r="Q4" s="59"/>
      <c r="R4" s="59"/>
      <c r="S4" s="143"/>
      <c r="T4" s="143"/>
      <c r="U4" s="143"/>
      <c r="V4" s="146"/>
      <c r="W4" s="143"/>
      <c r="X4" s="143"/>
      <c r="Y4" s="143"/>
      <c r="Z4" s="143"/>
    </row>
    <row r="5" spans="1:31" ht="15.5" x14ac:dyDescent="0.25">
      <c r="A5" s="67"/>
      <c r="B5" s="73" t="s">
        <v>3</v>
      </c>
      <c r="C5" s="74" t="s">
        <v>4</v>
      </c>
      <c r="D5" s="74" t="s">
        <v>5</v>
      </c>
      <c r="E5" s="74" t="s">
        <v>6</v>
      </c>
      <c r="F5" s="74" t="s">
        <v>7</v>
      </c>
      <c r="G5" s="74" t="s">
        <v>8</v>
      </c>
      <c r="H5" s="74" t="s">
        <v>9</v>
      </c>
      <c r="I5" s="74" t="s">
        <v>10</v>
      </c>
      <c r="J5" s="74" t="s">
        <v>11</v>
      </c>
      <c r="K5" s="74" t="s">
        <v>12</v>
      </c>
      <c r="L5" s="75" t="s">
        <v>178</v>
      </c>
      <c r="M5" s="75" t="s">
        <v>175</v>
      </c>
      <c r="N5" s="74" t="s">
        <v>52</v>
      </c>
      <c r="O5" s="74" t="s">
        <v>13</v>
      </c>
      <c r="P5" s="566" t="s">
        <v>51</v>
      </c>
      <c r="Q5" s="567"/>
      <c r="R5" s="140"/>
      <c r="S5" s="149" t="s">
        <v>10</v>
      </c>
      <c r="T5" s="147" t="s">
        <v>10</v>
      </c>
      <c r="U5" s="143"/>
      <c r="V5" s="149" t="s">
        <v>10</v>
      </c>
      <c r="W5" s="147" t="s">
        <v>10</v>
      </c>
      <c r="X5" s="316" t="s">
        <v>10</v>
      </c>
      <c r="Y5" s="150" t="s">
        <v>10</v>
      </c>
      <c r="Z5" s="148"/>
      <c r="AA5" s="149" t="s">
        <v>13</v>
      </c>
      <c r="AB5" s="147" t="s">
        <v>13</v>
      </c>
      <c r="AC5" s="316" t="s">
        <v>13</v>
      </c>
      <c r="AD5" s="147" t="s">
        <v>13</v>
      </c>
      <c r="AE5" s="374" t="s">
        <v>13</v>
      </c>
    </row>
    <row r="6" spans="1:31" ht="15.5" x14ac:dyDescent="0.25">
      <c r="A6" s="67"/>
      <c r="B6" s="76"/>
      <c r="C6" s="77" t="s">
        <v>14</v>
      </c>
      <c r="D6" s="78"/>
      <c r="E6" s="79" t="s">
        <v>15</v>
      </c>
      <c r="F6" s="79"/>
      <c r="G6" s="77" t="s">
        <v>16</v>
      </c>
      <c r="H6" s="79" t="s">
        <v>17</v>
      </c>
      <c r="I6" s="455" t="s">
        <v>247</v>
      </c>
      <c r="J6" s="79" t="s">
        <v>18</v>
      </c>
      <c r="K6" s="79" t="s">
        <v>17</v>
      </c>
      <c r="L6" s="77" t="s">
        <v>16</v>
      </c>
      <c r="M6" s="79" t="s">
        <v>31</v>
      </c>
      <c r="N6" s="79" t="s">
        <v>19</v>
      </c>
      <c r="O6" s="373" t="str">
        <f>参照ﾃﾞｰﾀ!K8</f>
        <v>MAX=40</v>
      </c>
      <c r="P6" s="80"/>
      <c r="Q6" s="81"/>
      <c r="R6" s="141"/>
      <c r="S6" s="153" t="s">
        <v>20</v>
      </c>
      <c r="T6" s="151" t="s">
        <v>22</v>
      </c>
      <c r="U6" s="143"/>
      <c r="V6" s="153" t="s">
        <v>20</v>
      </c>
      <c r="W6" s="151" t="s">
        <v>22</v>
      </c>
      <c r="X6" s="414" t="s">
        <v>21</v>
      </c>
      <c r="Y6" s="154" t="s">
        <v>230</v>
      </c>
      <c r="Z6" s="152"/>
      <c r="AA6" s="382" t="s">
        <v>192</v>
      </c>
      <c r="AB6" s="373" t="s">
        <v>59</v>
      </c>
      <c r="AC6" s="383" t="s">
        <v>191</v>
      </c>
      <c r="AD6" s="373" t="s">
        <v>231</v>
      </c>
      <c r="AE6" s="379" t="s">
        <v>232</v>
      </c>
    </row>
    <row r="7" spans="1:31" ht="15.5" x14ac:dyDescent="0.25">
      <c r="A7" s="67"/>
      <c r="B7" s="82">
        <v>1</v>
      </c>
      <c r="C7" s="83"/>
      <c r="D7" s="84" t="str">
        <f t="shared" ref="D7:D31" si="0">IF(ISBLANK(C7),"",VLOOKUP(C7,第5月ＴＡ,2,FALSE))</f>
        <v/>
      </c>
      <c r="E7" s="282">
        <f t="shared" ref="E7:E20" si="1">IF($I$6="Ⅰ",S7,IF($I$6="Ⅱ",T7,IF($I$6="Ⅲ",U7,"")))</f>
        <v>0</v>
      </c>
      <c r="F7" s="85">
        <v>1</v>
      </c>
      <c r="G7" s="86"/>
      <c r="H7" s="83" t="str">
        <f t="shared" ref="H7:H16" si="2">IFERROR(IF(G7-$Q$2&lt;=0,"",(G7-$Q$2)*86400),"")</f>
        <v/>
      </c>
      <c r="I7" s="87" t="str">
        <f>IF($I$6="Ⅰ",V7,IF($I$6="Ⅱ",W7,IF($I$6="Ⅲ",X7,IF($I$6="IV",Y7,""))))</f>
        <v/>
      </c>
      <c r="J7" s="85"/>
      <c r="K7" s="88" t="str">
        <f t="shared" ref="K7:K16" si="3">IFERROR(H7*(1+0.01*J7)-I7*$N$3,"")</f>
        <v/>
      </c>
      <c r="L7" s="86" t="str">
        <f t="shared" ref="L7:L16" si="4">IFERROR((K7-$K$7)/86400,"")</f>
        <v/>
      </c>
      <c r="M7" s="89" t="str">
        <f t="shared" ref="M7:M16" si="5">IFERROR((K7-$K$7)/$N$3,"")</f>
        <v/>
      </c>
      <c r="N7" s="90" t="str">
        <f t="shared" ref="N7:N16" si="6">IFERROR($N$3/(H7/3600),"")</f>
        <v/>
      </c>
      <c r="O7" s="388">
        <f>ROUND(IF($O$6="MAX=15",AA7,IF($O$6="MAX=20",AB7,IF($O$6="MAX=25",AC7,IF($O$6="MAX=30",AD7,IF($O$6="MAX=40",AE7))))),1)</f>
        <v>40</v>
      </c>
      <c r="P7" s="173"/>
      <c r="Q7" s="91"/>
      <c r="R7" s="140"/>
      <c r="S7" s="156" t="str">
        <f t="shared" ref="S7:S31" si="7">IF(ISBLANK(C7),"",VLOOKUP(C7,各艇データ,3,FALSE))</f>
        <v/>
      </c>
      <c r="T7" s="157" t="str">
        <f t="shared" ref="T7:T31" si="8">IF(ISBLANK(C7),"",VLOOKUP(C7,各艇データ,4,FALSE))</f>
        <v/>
      </c>
      <c r="U7" s="143"/>
      <c r="V7" s="310" t="str">
        <f t="shared" ref="V7:V31" si="9">IF(ISBLANK(C7),"",VLOOKUP(C7,第5月ＴＡ,3,FALSE))</f>
        <v/>
      </c>
      <c r="W7" s="311" t="str">
        <f t="shared" ref="W7:W31" si="10">IF(ISBLANK(C7),"",VLOOKUP(C7,第5月ＴＡ,4,FALSE))</f>
        <v/>
      </c>
      <c r="X7" s="415" t="str">
        <f>IF(ISBLANK(C7),"",VLOOKUP(C7,第5月ＴＡ,5,FALSE))</f>
        <v/>
      </c>
      <c r="Y7" s="159" t="str">
        <f t="shared" ref="Y7:Y31" si="11">IF(ISBLANK(C7),"",VLOOKUP(C7,第5月ＴＡ,6,FALSE))</f>
        <v/>
      </c>
      <c r="Z7" s="148"/>
      <c r="AA7" s="160">
        <f>IF(ISBLANK($B7),"",IFERROR(15*($P$3+1-$B7)/$P$3,"15.0"))</f>
        <v>15</v>
      </c>
      <c r="AB7" s="155">
        <f>IF(ISBLANK($B7),"",IFERROR(20*($P$3+1-$B7)/$P$3,"20.0"))</f>
        <v>20</v>
      </c>
      <c r="AC7" s="155">
        <f>IF(ISBLANK($B7),"",IFERROR(25*($P$3+1-$B7)/$P$3,"25.0"))</f>
        <v>25</v>
      </c>
      <c r="AD7" s="155">
        <f>IF(ISBLANK($B7),"",IFERROR(30*($P$3+1-$B7)/$P$3,"30.0"))</f>
        <v>30</v>
      </c>
      <c r="AE7" s="384">
        <f>IF(ISBLANK($B7),"",IFERROR(40*($P$3+1-$B7)/$P$3,"40.0"))</f>
        <v>40</v>
      </c>
    </row>
    <row r="8" spans="1:31" ht="15.5" x14ac:dyDescent="0.25">
      <c r="A8" s="67"/>
      <c r="B8" s="92">
        <v>2</v>
      </c>
      <c r="C8" s="93"/>
      <c r="D8" s="94" t="str">
        <f t="shared" si="0"/>
        <v/>
      </c>
      <c r="E8" s="283">
        <f t="shared" si="1"/>
        <v>0</v>
      </c>
      <c r="F8" s="287">
        <v>2</v>
      </c>
      <c r="G8" s="96"/>
      <c r="H8" s="93" t="str">
        <f t="shared" si="2"/>
        <v/>
      </c>
      <c r="I8" s="97" t="str">
        <f t="shared" ref="I8:I31" si="12">IF($I$6="Ⅰ",V8,IF($I$6="Ⅱ",W8,IF($I$6="Ⅲ",X8,IF($I$6="IV",Y8,""))))</f>
        <v/>
      </c>
      <c r="J8" s="95"/>
      <c r="K8" s="98" t="str">
        <f t="shared" si="3"/>
        <v/>
      </c>
      <c r="L8" s="96" t="str">
        <f t="shared" si="4"/>
        <v/>
      </c>
      <c r="M8" s="99" t="str">
        <f t="shared" si="5"/>
        <v/>
      </c>
      <c r="N8" s="100" t="str">
        <f t="shared" si="6"/>
        <v/>
      </c>
      <c r="O8" s="339">
        <f t="shared" ref="O8:O31" si="13">ROUND(IF($O$6="MAX=15",AA8,IF($O$6="MAX=20",AB8,IF($O$6="MAX=25",AC8,IF($O$6="MAX=30",AD8,IF($O$6="MAX=40",AE8))))),1)</f>
        <v>37.299999999999997</v>
      </c>
      <c r="P8" s="101"/>
      <c r="Q8" s="102"/>
      <c r="R8" s="140"/>
      <c r="S8" s="156" t="str">
        <f t="shared" si="7"/>
        <v/>
      </c>
      <c r="T8" s="157" t="str">
        <f t="shared" si="8"/>
        <v/>
      </c>
      <c r="U8" s="143"/>
      <c r="V8" s="310" t="str">
        <f t="shared" si="9"/>
        <v/>
      </c>
      <c r="W8" s="311" t="str">
        <f t="shared" si="10"/>
        <v/>
      </c>
      <c r="X8" s="415" t="str">
        <f t="shared" ref="X8:X31" si="14">IF(ISBLANK(C8),"",VLOOKUP(C8,第5月ＴＡ,5,FALSE))</f>
        <v/>
      </c>
      <c r="Y8" s="159" t="str">
        <f t="shared" si="11"/>
        <v/>
      </c>
      <c r="Z8" s="148"/>
      <c r="AA8" s="160">
        <f t="shared" ref="AA8:AA30" si="15">IF(ISBLANK($B8),"",IFERROR(15*($P$3+1-$B8)/$P$3,"15.0"))</f>
        <v>14</v>
      </c>
      <c r="AB8" s="155">
        <f t="shared" ref="AB8:AB31" si="16">IF(ISBLANK($B8),"",IFERROR(20*($P$3+1-$B8)/$P$3,"20.0"))</f>
        <v>18.666666666666668</v>
      </c>
      <c r="AC8" s="155">
        <f t="shared" ref="AC8:AC30" si="17">IF(ISBLANK($B8),"",IFERROR(25*($P$3+1-$B8)/$P$3,"25.0"))</f>
        <v>23.333333333333332</v>
      </c>
      <c r="AD8" s="155">
        <f t="shared" ref="AD8:AD26" si="18">IF(ISBLANK($B8),"",IFERROR(30*($P$3+1-$B8)/$P$3,"30.0"))</f>
        <v>28</v>
      </c>
      <c r="AE8" s="384">
        <f t="shared" ref="AE8:AE31" si="19">IF(ISBLANK($B8),"",IFERROR(40*($P$3+1-$B8)/$P$3,"40.0"))</f>
        <v>37.333333333333336</v>
      </c>
    </row>
    <row r="9" spans="1:31" ht="15.5" x14ac:dyDescent="0.25">
      <c r="A9" s="67"/>
      <c r="B9" s="92">
        <v>3</v>
      </c>
      <c r="C9" s="93"/>
      <c r="D9" s="94" t="str">
        <f t="shared" si="0"/>
        <v/>
      </c>
      <c r="E9" s="283">
        <f t="shared" si="1"/>
        <v>0</v>
      </c>
      <c r="F9" s="95">
        <v>3</v>
      </c>
      <c r="G9" s="96"/>
      <c r="H9" s="93" t="str">
        <f t="shared" si="2"/>
        <v/>
      </c>
      <c r="I9" s="97" t="str">
        <f t="shared" si="12"/>
        <v/>
      </c>
      <c r="J9" s="95"/>
      <c r="K9" s="98" t="str">
        <f t="shared" si="3"/>
        <v/>
      </c>
      <c r="L9" s="96" t="str">
        <f t="shared" si="4"/>
        <v/>
      </c>
      <c r="M9" s="99" t="str">
        <f t="shared" si="5"/>
        <v/>
      </c>
      <c r="N9" s="100" t="str">
        <f t="shared" si="6"/>
        <v/>
      </c>
      <c r="O9" s="339">
        <f t="shared" si="13"/>
        <v>34.700000000000003</v>
      </c>
      <c r="P9" s="101"/>
      <c r="Q9" s="102"/>
      <c r="R9" s="140"/>
      <c r="S9" s="156" t="str">
        <f t="shared" si="7"/>
        <v/>
      </c>
      <c r="T9" s="157" t="str">
        <f t="shared" si="8"/>
        <v/>
      </c>
      <c r="U9" s="143"/>
      <c r="V9" s="310" t="str">
        <f t="shared" si="9"/>
        <v/>
      </c>
      <c r="W9" s="311" t="str">
        <f t="shared" si="10"/>
        <v/>
      </c>
      <c r="X9" s="415" t="str">
        <f t="shared" si="14"/>
        <v/>
      </c>
      <c r="Y9" s="159" t="str">
        <f t="shared" si="11"/>
        <v/>
      </c>
      <c r="Z9" s="148"/>
      <c r="AA9" s="160">
        <f t="shared" si="15"/>
        <v>13</v>
      </c>
      <c r="AB9" s="155">
        <f t="shared" si="16"/>
        <v>17.333333333333332</v>
      </c>
      <c r="AC9" s="155">
        <f t="shared" si="17"/>
        <v>21.666666666666668</v>
      </c>
      <c r="AD9" s="155">
        <f t="shared" si="18"/>
        <v>26</v>
      </c>
      <c r="AE9" s="384">
        <f t="shared" si="19"/>
        <v>34.666666666666664</v>
      </c>
    </row>
    <row r="10" spans="1:31" ht="15.5" x14ac:dyDescent="0.25">
      <c r="A10" s="67"/>
      <c r="B10" s="92">
        <v>4</v>
      </c>
      <c r="C10" s="93"/>
      <c r="D10" s="94" t="str">
        <f t="shared" si="0"/>
        <v/>
      </c>
      <c r="E10" s="283">
        <f t="shared" si="1"/>
        <v>0</v>
      </c>
      <c r="F10" s="287">
        <v>4</v>
      </c>
      <c r="G10" s="96"/>
      <c r="H10" s="93" t="str">
        <f t="shared" si="2"/>
        <v/>
      </c>
      <c r="I10" s="97" t="str">
        <f t="shared" si="12"/>
        <v/>
      </c>
      <c r="J10" s="165"/>
      <c r="K10" s="98" t="str">
        <f t="shared" si="3"/>
        <v/>
      </c>
      <c r="L10" s="96" t="str">
        <f t="shared" si="4"/>
        <v/>
      </c>
      <c r="M10" s="99" t="str">
        <f t="shared" si="5"/>
        <v/>
      </c>
      <c r="N10" s="100" t="str">
        <f t="shared" si="6"/>
        <v/>
      </c>
      <c r="O10" s="339">
        <f t="shared" si="13"/>
        <v>32</v>
      </c>
      <c r="P10" s="164"/>
      <c r="Q10" s="102"/>
      <c r="R10" s="140"/>
      <c r="S10" s="156" t="str">
        <f t="shared" si="7"/>
        <v/>
      </c>
      <c r="T10" s="157" t="str">
        <f t="shared" si="8"/>
        <v/>
      </c>
      <c r="U10" s="143"/>
      <c r="V10" s="310" t="str">
        <f t="shared" si="9"/>
        <v/>
      </c>
      <c r="W10" s="311" t="str">
        <f t="shared" si="10"/>
        <v/>
      </c>
      <c r="X10" s="415" t="str">
        <f t="shared" si="14"/>
        <v/>
      </c>
      <c r="Y10" s="159" t="str">
        <f t="shared" si="11"/>
        <v/>
      </c>
      <c r="Z10" s="148"/>
      <c r="AA10" s="160">
        <f t="shared" si="15"/>
        <v>12</v>
      </c>
      <c r="AB10" s="155">
        <f t="shared" si="16"/>
        <v>16</v>
      </c>
      <c r="AC10" s="155">
        <f t="shared" si="17"/>
        <v>20</v>
      </c>
      <c r="AD10" s="155">
        <f t="shared" si="18"/>
        <v>24</v>
      </c>
      <c r="AE10" s="384">
        <f t="shared" si="19"/>
        <v>32</v>
      </c>
    </row>
    <row r="11" spans="1:31" ht="15.5" x14ac:dyDescent="0.25">
      <c r="A11" s="67"/>
      <c r="B11" s="103">
        <v>5</v>
      </c>
      <c r="C11" s="104"/>
      <c r="D11" s="105" t="str">
        <f t="shared" si="0"/>
        <v/>
      </c>
      <c r="E11" s="284">
        <f t="shared" si="1"/>
        <v>0</v>
      </c>
      <c r="F11" s="106">
        <v>5</v>
      </c>
      <c r="G11" s="107"/>
      <c r="H11" s="108" t="str">
        <f t="shared" si="2"/>
        <v/>
      </c>
      <c r="I11" s="109" t="str">
        <f t="shared" si="12"/>
        <v/>
      </c>
      <c r="J11" s="110"/>
      <c r="K11" s="111" t="str">
        <f t="shared" si="3"/>
        <v/>
      </c>
      <c r="L11" s="112" t="str">
        <f t="shared" si="4"/>
        <v/>
      </c>
      <c r="M11" s="113" t="str">
        <f t="shared" si="5"/>
        <v/>
      </c>
      <c r="N11" s="114" t="str">
        <f t="shared" si="6"/>
        <v/>
      </c>
      <c r="O11" s="389">
        <f t="shared" si="13"/>
        <v>29.3</v>
      </c>
      <c r="P11" s="115"/>
      <c r="Q11" s="116"/>
      <c r="R11" s="140"/>
      <c r="S11" s="156" t="str">
        <f t="shared" si="7"/>
        <v/>
      </c>
      <c r="T11" s="157" t="str">
        <f t="shared" si="8"/>
        <v/>
      </c>
      <c r="U11" s="143"/>
      <c r="V11" s="310" t="str">
        <f t="shared" si="9"/>
        <v/>
      </c>
      <c r="W11" s="311" t="str">
        <f t="shared" si="10"/>
        <v/>
      </c>
      <c r="X11" s="415" t="str">
        <f t="shared" si="14"/>
        <v/>
      </c>
      <c r="Y11" s="159" t="str">
        <f t="shared" si="11"/>
        <v/>
      </c>
      <c r="Z11" s="148"/>
      <c r="AA11" s="160">
        <f t="shared" si="15"/>
        <v>11</v>
      </c>
      <c r="AB11" s="155">
        <f t="shared" si="16"/>
        <v>14.666666666666666</v>
      </c>
      <c r="AC11" s="155">
        <f t="shared" si="17"/>
        <v>18.333333333333332</v>
      </c>
      <c r="AD11" s="155">
        <f t="shared" si="18"/>
        <v>22</v>
      </c>
      <c r="AE11" s="384">
        <f t="shared" si="19"/>
        <v>29.333333333333332</v>
      </c>
    </row>
    <row r="12" spans="1:31" ht="15.5" x14ac:dyDescent="0.25">
      <c r="A12" s="67"/>
      <c r="B12" s="82">
        <v>6</v>
      </c>
      <c r="C12" s="83"/>
      <c r="D12" s="134" t="str">
        <f t="shared" si="0"/>
        <v/>
      </c>
      <c r="E12" s="282">
        <f t="shared" si="1"/>
        <v>0</v>
      </c>
      <c r="F12" s="85">
        <v>6</v>
      </c>
      <c r="G12" s="86"/>
      <c r="H12" s="83" t="str">
        <f t="shared" si="2"/>
        <v/>
      </c>
      <c r="I12" s="87" t="str">
        <f t="shared" si="12"/>
        <v/>
      </c>
      <c r="J12" s="85"/>
      <c r="K12" s="88" t="str">
        <f t="shared" si="3"/>
        <v/>
      </c>
      <c r="L12" s="86" t="str">
        <f t="shared" si="4"/>
        <v/>
      </c>
      <c r="M12" s="89" t="str">
        <f t="shared" si="5"/>
        <v/>
      </c>
      <c r="N12" s="90" t="str">
        <f t="shared" si="6"/>
        <v/>
      </c>
      <c r="O12" s="388">
        <f t="shared" si="13"/>
        <v>26.7</v>
      </c>
      <c r="P12" s="67"/>
      <c r="Q12" s="91"/>
      <c r="R12" s="140"/>
      <c r="S12" s="156" t="str">
        <f t="shared" si="7"/>
        <v/>
      </c>
      <c r="T12" s="157" t="str">
        <f t="shared" si="8"/>
        <v/>
      </c>
      <c r="U12" s="143"/>
      <c r="V12" s="310" t="str">
        <f t="shared" si="9"/>
        <v/>
      </c>
      <c r="W12" s="311" t="str">
        <f t="shared" si="10"/>
        <v/>
      </c>
      <c r="X12" s="415" t="str">
        <f t="shared" si="14"/>
        <v/>
      </c>
      <c r="Y12" s="159" t="str">
        <f t="shared" si="11"/>
        <v/>
      </c>
      <c r="Z12" s="148"/>
      <c r="AA12" s="160">
        <f t="shared" si="15"/>
        <v>10</v>
      </c>
      <c r="AB12" s="155">
        <f t="shared" si="16"/>
        <v>13.333333333333334</v>
      </c>
      <c r="AC12" s="155">
        <f t="shared" si="17"/>
        <v>16.666666666666668</v>
      </c>
      <c r="AD12" s="155">
        <f t="shared" si="18"/>
        <v>20</v>
      </c>
      <c r="AE12" s="384">
        <f t="shared" si="19"/>
        <v>26.666666666666668</v>
      </c>
    </row>
    <row r="13" spans="1:31" ht="15.5" x14ac:dyDescent="0.25">
      <c r="A13" s="67"/>
      <c r="B13" s="92">
        <v>7</v>
      </c>
      <c r="C13" s="93"/>
      <c r="D13" s="94" t="str">
        <f t="shared" si="0"/>
        <v/>
      </c>
      <c r="E13" s="283">
        <f t="shared" si="1"/>
        <v>0</v>
      </c>
      <c r="F13" s="95">
        <v>7</v>
      </c>
      <c r="G13" s="96"/>
      <c r="H13" s="93" t="str">
        <f t="shared" si="2"/>
        <v/>
      </c>
      <c r="I13" s="97" t="str">
        <f t="shared" si="12"/>
        <v/>
      </c>
      <c r="J13" s="95"/>
      <c r="K13" s="98" t="str">
        <f t="shared" si="3"/>
        <v/>
      </c>
      <c r="L13" s="96" t="str">
        <f t="shared" si="4"/>
        <v/>
      </c>
      <c r="M13" s="99" t="str">
        <f t="shared" si="5"/>
        <v/>
      </c>
      <c r="N13" s="100" t="str">
        <f t="shared" si="6"/>
        <v/>
      </c>
      <c r="O13" s="339">
        <f t="shared" si="13"/>
        <v>24</v>
      </c>
      <c r="P13" s="131"/>
      <c r="Q13" s="102"/>
      <c r="R13" s="140"/>
      <c r="S13" s="156" t="str">
        <f t="shared" si="7"/>
        <v/>
      </c>
      <c r="T13" s="157" t="str">
        <f t="shared" si="8"/>
        <v/>
      </c>
      <c r="U13" s="143"/>
      <c r="V13" s="310" t="str">
        <f t="shared" si="9"/>
        <v/>
      </c>
      <c r="W13" s="311" t="str">
        <f t="shared" si="10"/>
        <v/>
      </c>
      <c r="X13" s="415" t="str">
        <f t="shared" si="14"/>
        <v/>
      </c>
      <c r="Y13" s="159" t="str">
        <f t="shared" si="11"/>
        <v/>
      </c>
      <c r="Z13" s="148"/>
      <c r="AA13" s="160">
        <f t="shared" si="15"/>
        <v>9</v>
      </c>
      <c r="AB13" s="155">
        <f t="shared" si="16"/>
        <v>12</v>
      </c>
      <c r="AC13" s="155">
        <f t="shared" si="17"/>
        <v>15</v>
      </c>
      <c r="AD13" s="155">
        <f t="shared" si="18"/>
        <v>18</v>
      </c>
      <c r="AE13" s="384">
        <f t="shared" si="19"/>
        <v>24</v>
      </c>
    </row>
    <row r="14" spans="1:31" ht="15.5" x14ac:dyDescent="0.25">
      <c r="A14" s="67"/>
      <c r="B14" s="92">
        <v>8</v>
      </c>
      <c r="C14" s="93"/>
      <c r="D14" s="94" t="str">
        <f t="shared" si="0"/>
        <v/>
      </c>
      <c r="E14" s="283">
        <f t="shared" si="1"/>
        <v>0</v>
      </c>
      <c r="F14" s="95">
        <v>8</v>
      </c>
      <c r="G14" s="96"/>
      <c r="H14" s="93" t="str">
        <f t="shared" si="2"/>
        <v/>
      </c>
      <c r="I14" s="97" t="str">
        <f t="shared" si="12"/>
        <v/>
      </c>
      <c r="J14" s="95"/>
      <c r="K14" s="98" t="str">
        <f t="shared" si="3"/>
        <v/>
      </c>
      <c r="L14" s="96" t="str">
        <f t="shared" si="4"/>
        <v/>
      </c>
      <c r="M14" s="99" t="str">
        <f t="shared" si="5"/>
        <v/>
      </c>
      <c r="N14" s="100" t="str">
        <f t="shared" si="6"/>
        <v/>
      </c>
      <c r="O14" s="339">
        <f t="shared" si="13"/>
        <v>21.3</v>
      </c>
      <c r="P14" s="101"/>
      <c r="Q14" s="102"/>
      <c r="R14" s="140"/>
      <c r="S14" s="156" t="str">
        <f t="shared" si="7"/>
        <v/>
      </c>
      <c r="T14" s="157" t="str">
        <f t="shared" si="8"/>
        <v/>
      </c>
      <c r="U14" s="143"/>
      <c r="V14" s="310" t="str">
        <f t="shared" si="9"/>
        <v/>
      </c>
      <c r="W14" s="311" t="str">
        <f t="shared" si="10"/>
        <v/>
      </c>
      <c r="X14" s="415" t="str">
        <f t="shared" si="14"/>
        <v/>
      </c>
      <c r="Y14" s="159" t="str">
        <f t="shared" si="11"/>
        <v/>
      </c>
      <c r="Z14" s="148"/>
      <c r="AA14" s="160">
        <f t="shared" si="15"/>
        <v>8</v>
      </c>
      <c r="AB14" s="155">
        <f t="shared" si="16"/>
        <v>10.666666666666666</v>
      </c>
      <c r="AC14" s="155">
        <f t="shared" si="17"/>
        <v>13.333333333333334</v>
      </c>
      <c r="AD14" s="155">
        <f t="shared" si="18"/>
        <v>16</v>
      </c>
      <c r="AE14" s="384">
        <f t="shared" si="19"/>
        <v>21.333333333333332</v>
      </c>
    </row>
    <row r="15" spans="1:31" ht="15.5" x14ac:dyDescent="0.25">
      <c r="A15" s="67"/>
      <c r="B15" s="92">
        <v>9</v>
      </c>
      <c r="C15" s="93"/>
      <c r="D15" s="94" t="str">
        <f t="shared" si="0"/>
        <v/>
      </c>
      <c r="E15" s="283">
        <f t="shared" si="1"/>
        <v>0</v>
      </c>
      <c r="F15" s="95">
        <v>9</v>
      </c>
      <c r="G15" s="96"/>
      <c r="H15" s="93" t="str">
        <f t="shared" si="2"/>
        <v/>
      </c>
      <c r="I15" s="97" t="str">
        <f t="shared" si="12"/>
        <v/>
      </c>
      <c r="J15" s="95"/>
      <c r="K15" s="98" t="str">
        <f t="shared" si="3"/>
        <v/>
      </c>
      <c r="L15" s="96" t="str">
        <f t="shared" si="4"/>
        <v/>
      </c>
      <c r="M15" s="99" t="str">
        <f t="shared" si="5"/>
        <v/>
      </c>
      <c r="N15" s="100" t="str">
        <f t="shared" si="6"/>
        <v/>
      </c>
      <c r="O15" s="339">
        <f t="shared" si="13"/>
        <v>18.7</v>
      </c>
      <c r="P15" s="131"/>
      <c r="Q15" s="102"/>
      <c r="R15" s="140"/>
      <c r="S15" s="156" t="str">
        <f t="shared" si="7"/>
        <v/>
      </c>
      <c r="T15" s="157" t="str">
        <f t="shared" si="8"/>
        <v/>
      </c>
      <c r="U15" s="143"/>
      <c r="V15" s="310" t="str">
        <f t="shared" si="9"/>
        <v/>
      </c>
      <c r="W15" s="311" t="str">
        <f t="shared" si="10"/>
        <v/>
      </c>
      <c r="X15" s="415" t="str">
        <f t="shared" si="14"/>
        <v/>
      </c>
      <c r="Y15" s="159" t="str">
        <f t="shared" si="11"/>
        <v/>
      </c>
      <c r="Z15" s="148"/>
      <c r="AA15" s="160">
        <f t="shared" si="15"/>
        <v>7</v>
      </c>
      <c r="AB15" s="155">
        <f t="shared" si="16"/>
        <v>9.3333333333333339</v>
      </c>
      <c r="AC15" s="155">
        <f t="shared" si="17"/>
        <v>11.666666666666666</v>
      </c>
      <c r="AD15" s="155">
        <f t="shared" si="18"/>
        <v>14</v>
      </c>
      <c r="AE15" s="384">
        <f t="shared" si="19"/>
        <v>18.666666666666668</v>
      </c>
    </row>
    <row r="16" spans="1:31" ht="15.5" x14ac:dyDescent="0.25">
      <c r="A16" s="67"/>
      <c r="B16" s="103">
        <v>10</v>
      </c>
      <c r="C16" s="104"/>
      <c r="D16" s="105" t="str">
        <f t="shared" si="0"/>
        <v/>
      </c>
      <c r="E16" s="284">
        <f t="shared" si="1"/>
        <v>0</v>
      </c>
      <c r="F16" s="106">
        <v>10</v>
      </c>
      <c r="G16" s="107"/>
      <c r="H16" s="104" t="str">
        <f t="shared" si="2"/>
        <v/>
      </c>
      <c r="I16" s="117" t="str">
        <f t="shared" si="12"/>
        <v/>
      </c>
      <c r="J16" s="118"/>
      <c r="K16" s="119" t="str">
        <f t="shared" si="3"/>
        <v/>
      </c>
      <c r="L16" s="107" t="str">
        <f t="shared" si="4"/>
        <v/>
      </c>
      <c r="M16" s="120" t="str">
        <f t="shared" si="5"/>
        <v/>
      </c>
      <c r="N16" s="121" t="str">
        <f t="shared" si="6"/>
        <v/>
      </c>
      <c r="O16" s="389">
        <f t="shared" si="13"/>
        <v>16</v>
      </c>
      <c r="P16" s="166"/>
      <c r="Q16" s="116"/>
      <c r="R16" s="140"/>
      <c r="S16" s="156" t="str">
        <f t="shared" si="7"/>
        <v/>
      </c>
      <c r="T16" s="157" t="str">
        <f t="shared" si="8"/>
        <v/>
      </c>
      <c r="U16" s="143"/>
      <c r="V16" s="310" t="str">
        <f t="shared" si="9"/>
        <v/>
      </c>
      <c r="W16" s="311" t="str">
        <f t="shared" si="10"/>
        <v/>
      </c>
      <c r="X16" s="415" t="str">
        <f t="shared" si="14"/>
        <v/>
      </c>
      <c r="Y16" s="159" t="str">
        <f t="shared" si="11"/>
        <v/>
      </c>
      <c r="Z16" s="148"/>
      <c r="AA16" s="160">
        <f t="shared" si="15"/>
        <v>6</v>
      </c>
      <c r="AB16" s="155">
        <f t="shared" si="16"/>
        <v>8</v>
      </c>
      <c r="AC16" s="155">
        <f t="shared" si="17"/>
        <v>10</v>
      </c>
      <c r="AD16" s="155">
        <f t="shared" si="18"/>
        <v>12</v>
      </c>
      <c r="AE16" s="384">
        <f t="shared" si="19"/>
        <v>16</v>
      </c>
    </row>
    <row r="17" spans="1:31" ht="15.5" x14ac:dyDescent="0.25">
      <c r="A17" s="67"/>
      <c r="B17" s="82">
        <v>11</v>
      </c>
      <c r="C17" s="83"/>
      <c r="D17" s="134" t="str">
        <f t="shared" si="0"/>
        <v/>
      </c>
      <c r="E17" s="282">
        <f t="shared" si="1"/>
        <v>0</v>
      </c>
      <c r="F17" s="85">
        <v>11</v>
      </c>
      <c r="G17" s="86"/>
      <c r="H17" s="83" t="str">
        <f t="shared" ref="H17:H26" si="20">IFERROR(IF(G17-$Q$2&lt;=0,"",(G17-$Q$2)*86400),"")</f>
        <v/>
      </c>
      <c r="I17" s="87" t="str">
        <f t="shared" si="12"/>
        <v/>
      </c>
      <c r="J17" s="85"/>
      <c r="K17" s="88" t="str">
        <f t="shared" ref="K17:K26" si="21">IFERROR(H17*(1+0.01*J17)-I17*$N$3,"")</f>
        <v/>
      </c>
      <c r="L17" s="86" t="str">
        <f t="shared" ref="L17:L26" si="22">IFERROR((K17-$K$7)/86400,"")</f>
        <v/>
      </c>
      <c r="M17" s="89" t="str">
        <f t="shared" ref="M17:M26" si="23">IFERROR((K17-$K$7)/$N$3,"")</f>
        <v/>
      </c>
      <c r="N17" s="90" t="str">
        <f t="shared" ref="N17:N26" si="24">IFERROR($N$3/(H17/3600),"")</f>
        <v/>
      </c>
      <c r="O17" s="388">
        <f t="shared" si="13"/>
        <v>13.3</v>
      </c>
      <c r="P17" s="167"/>
      <c r="Q17" s="91"/>
      <c r="R17" s="140"/>
      <c r="S17" s="156" t="str">
        <f t="shared" si="7"/>
        <v/>
      </c>
      <c r="T17" s="157" t="str">
        <f t="shared" si="8"/>
        <v/>
      </c>
      <c r="U17" s="143"/>
      <c r="V17" s="310" t="str">
        <f t="shared" si="9"/>
        <v/>
      </c>
      <c r="W17" s="311" t="str">
        <f t="shared" si="10"/>
        <v/>
      </c>
      <c r="X17" s="415" t="str">
        <f t="shared" si="14"/>
        <v/>
      </c>
      <c r="Y17" s="159" t="str">
        <f t="shared" si="11"/>
        <v/>
      </c>
      <c r="Z17" s="148"/>
      <c r="AA17" s="160">
        <f t="shared" si="15"/>
        <v>5</v>
      </c>
      <c r="AB17" s="155">
        <f t="shared" si="16"/>
        <v>6.666666666666667</v>
      </c>
      <c r="AC17" s="155">
        <f t="shared" si="17"/>
        <v>8.3333333333333339</v>
      </c>
      <c r="AD17" s="155">
        <f t="shared" si="18"/>
        <v>10</v>
      </c>
      <c r="AE17" s="384">
        <f t="shared" si="19"/>
        <v>13.333333333333334</v>
      </c>
    </row>
    <row r="18" spans="1:31" ht="15.5" x14ac:dyDescent="0.25">
      <c r="A18" s="67"/>
      <c r="B18" s="92">
        <v>12</v>
      </c>
      <c r="C18" s="93"/>
      <c r="D18" s="94" t="str">
        <f t="shared" si="0"/>
        <v/>
      </c>
      <c r="E18" s="283">
        <f t="shared" si="1"/>
        <v>0</v>
      </c>
      <c r="F18" s="287">
        <v>12</v>
      </c>
      <c r="G18" s="96"/>
      <c r="H18" s="93" t="str">
        <f t="shared" si="20"/>
        <v/>
      </c>
      <c r="I18" s="97" t="str">
        <f t="shared" si="12"/>
        <v/>
      </c>
      <c r="J18" s="95"/>
      <c r="K18" s="98" t="str">
        <f t="shared" si="21"/>
        <v/>
      </c>
      <c r="L18" s="96" t="str">
        <f t="shared" si="22"/>
        <v/>
      </c>
      <c r="M18" s="99" t="str">
        <f t="shared" si="23"/>
        <v/>
      </c>
      <c r="N18" s="100" t="str">
        <f t="shared" si="24"/>
        <v/>
      </c>
      <c r="O18" s="339">
        <f t="shared" si="13"/>
        <v>10.7</v>
      </c>
      <c r="P18" s="131"/>
      <c r="Q18" s="102"/>
      <c r="R18" s="140"/>
      <c r="S18" s="156" t="str">
        <f t="shared" si="7"/>
        <v/>
      </c>
      <c r="T18" s="157" t="str">
        <f t="shared" si="8"/>
        <v/>
      </c>
      <c r="U18" s="143"/>
      <c r="V18" s="310" t="str">
        <f t="shared" si="9"/>
        <v/>
      </c>
      <c r="W18" s="311" t="str">
        <f t="shared" si="10"/>
        <v/>
      </c>
      <c r="X18" s="415" t="str">
        <f t="shared" si="14"/>
        <v/>
      </c>
      <c r="Y18" s="159" t="str">
        <f t="shared" si="11"/>
        <v/>
      </c>
      <c r="Z18" s="148"/>
      <c r="AA18" s="160">
        <f t="shared" si="15"/>
        <v>4</v>
      </c>
      <c r="AB18" s="155">
        <f t="shared" si="16"/>
        <v>5.333333333333333</v>
      </c>
      <c r="AC18" s="155">
        <f t="shared" si="17"/>
        <v>6.666666666666667</v>
      </c>
      <c r="AD18" s="155">
        <f t="shared" si="18"/>
        <v>8</v>
      </c>
      <c r="AE18" s="384">
        <f t="shared" si="19"/>
        <v>10.666666666666666</v>
      </c>
    </row>
    <row r="19" spans="1:31" ht="15.5" x14ac:dyDescent="0.25">
      <c r="A19" s="67"/>
      <c r="B19" s="92">
        <v>13</v>
      </c>
      <c r="C19" s="93"/>
      <c r="D19" s="94" t="str">
        <f t="shared" si="0"/>
        <v/>
      </c>
      <c r="E19" s="283">
        <f t="shared" si="1"/>
        <v>0</v>
      </c>
      <c r="F19" s="287">
        <v>13</v>
      </c>
      <c r="G19" s="96"/>
      <c r="H19" s="93" t="str">
        <f t="shared" si="20"/>
        <v/>
      </c>
      <c r="I19" s="97" t="str">
        <f t="shared" si="12"/>
        <v/>
      </c>
      <c r="J19" s="95"/>
      <c r="K19" s="98" t="str">
        <f t="shared" si="21"/>
        <v/>
      </c>
      <c r="L19" s="96" t="str">
        <f t="shared" si="22"/>
        <v/>
      </c>
      <c r="M19" s="99" t="str">
        <f t="shared" si="23"/>
        <v/>
      </c>
      <c r="N19" s="100" t="str">
        <f t="shared" si="24"/>
        <v/>
      </c>
      <c r="O19" s="339">
        <f t="shared" si="13"/>
        <v>8</v>
      </c>
      <c r="P19" s="131"/>
      <c r="Q19" s="102"/>
      <c r="R19" s="140"/>
      <c r="S19" s="156" t="str">
        <f t="shared" si="7"/>
        <v/>
      </c>
      <c r="T19" s="157" t="str">
        <f t="shared" si="8"/>
        <v/>
      </c>
      <c r="U19" s="143"/>
      <c r="V19" s="310" t="str">
        <f t="shared" si="9"/>
        <v/>
      </c>
      <c r="W19" s="311" t="str">
        <f t="shared" si="10"/>
        <v/>
      </c>
      <c r="X19" s="415" t="str">
        <f t="shared" si="14"/>
        <v/>
      </c>
      <c r="Y19" s="159" t="str">
        <f t="shared" si="11"/>
        <v/>
      </c>
      <c r="Z19" s="148"/>
      <c r="AA19" s="160">
        <f t="shared" si="15"/>
        <v>3</v>
      </c>
      <c r="AB19" s="155">
        <f t="shared" si="16"/>
        <v>4</v>
      </c>
      <c r="AC19" s="155">
        <f t="shared" si="17"/>
        <v>5</v>
      </c>
      <c r="AD19" s="155">
        <f t="shared" si="18"/>
        <v>6</v>
      </c>
      <c r="AE19" s="384">
        <f t="shared" si="19"/>
        <v>8</v>
      </c>
    </row>
    <row r="20" spans="1:31" ht="15.5" x14ac:dyDescent="0.25">
      <c r="A20" s="67"/>
      <c r="B20" s="92">
        <v>14</v>
      </c>
      <c r="C20" s="93"/>
      <c r="D20" s="94" t="str">
        <f t="shared" si="0"/>
        <v/>
      </c>
      <c r="E20" s="283">
        <f t="shared" si="1"/>
        <v>0</v>
      </c>
      <c r="F20" s="95">
        <v>14</v>
      </c>
      <c r="G20" s="96"/>
      <c r="H20" s="93" t="str">
        <f t="shared" si="20"/>
        <v/>
      </c>
      <c r="I20" s="97" t="str">
        <f t="shared" si="12"/>
        <v/>
      </c>
      <c r="J20" s="95"/>
      <c r="K20" s="98" t="str">
        <f t="shared" si="21"/>
        <v/>
      </c>
      <c r="L20" s="96" t="str">
        <f t="shared" si="22"/>
        <v/>
      </c>
      <c r="M20" s="99" t="str">
        <f t="shared" si="23"/>
        <v/>
      </c>
      <c r="N20" s="100" t="str">
        <f t="shared" si="24"/>
        <v/>
      </c>
      <c r="O20" s="339">
        <f t="shared" si="13"/>
        <v>5.3</v>
      </c>
      <c r="P20" s="167"/>
      <c r="Q20" s="102"/>
      <c r="R20" s="140"/>
      <c r="S20" s="156" t="str">
        <f t="shared" si="7"/>
        <v/>
      </c>
      <c r="T20" s="157" t="str">
        <f t="shared" si="8"/>
        <v/>
      </c>
      <c r="U20" s="143"/>
      <c r="V20" s="310" t="str">
        <f t="shared" si="9"/>
        <v/>
      </c>
      <c r="W20" s="311" t="str">
        <f t="shared" si="10"/>
        <v/>
      </c>
      <c r="X20" s="415" t="str">
        <f t="shared" si="14"/>
        <v/>
      </c>
      <c r="Y20" s="159" t="str">
        <f t="shared" si="11"/>
        <v/>
      </c>
      <c r="Z20" s="148"/>
      <c r="AA20" s="160">
        <f t="shared" si="15"/>
        <v>2</v>
      </c>
      <c r="AB20" s="155">
        <f t="shared" si="16"/>
        <v>2.6666666666666665</v>
      </c>
      <c r="AC20" s="155">
        <f t="shared" si="17"/>
        <v>3.3333333333333335</v>
      </c>
      <c r="AD20" s="155">
        <f t="shared" si="18"/>
        <v>4</v>
      </c>
      <c r="AE20" s="384">
        <f t="shared" si="19"/>
        <v>5.333333333333333</v>
      </c>
    </row>
    <row r="21" spans="1:31" ht="15.5" x14ac:dyDescent="0.25">
      <c r="A21" s="67"/>
      <c r="B21" s="103">
        <v>15</v>
      </c>
      <c r="C21" s="104"/>
      <c r="D21" s="105" t="str">
        <f t="shared" si="0"/>
        <v/>
      </c>
      <c r="E21" s="284">
        <f t="shared" ref="E21" si="25">IF($I$6="Ⅰ",S21,IF($I$6="Ⅱ",T21,IF($I$6="Ⅲ",U21,"")))</f>
        <v>0</v>
      </c>
      <c r="F21" s="288">
        <v>15</v>
      </c>
      <c r="G21" s="107"/>
      <c r="H21" s="104" t="str">
        <f t="shared" si="20"/>
        <v/>
      </c>
      <c r="I21" s="117" t="str">
        <f t="shared" si="12"/>
        <v/>
      </c>
      <c r="J21" s="118"/>
      <c r="K21" s="119" t="str">
        <f t="shared" si="21"/>
        <v/>
      </c>
      <c r="L21" s="107" t="str">
        <f t="shared" si="22"/>
        <v/>
      </c>
      <c r="M21" s="120" t="str">
        <f t="shared" si="23"/>
        <v/>
      </c>
      <c r="N21" s="121" t="str">
        <f t="shared" si="24"/>
        <v/>
      </c>
      <c r="O21" s="389">
        <f t="shared" si="13"/>
        <v>2.7</v>
      </c>
      <c r="P21" s="166"/>
      <c r="Q21" s="116"/>
      <c r="R21" s="140"/>
      <c r="S21" s="156" t="str">
        <f t="shared" si="7"/>
        <v/>
      </c>
      <c r="T21" s="157" t="str">
        <f t="shared" si="8"/>
        <v/>
      </c>
      <c r="U21" s="143"/>
      <c r="V21" s="310" t="str">
        <f t="shared" si="9"/>
        <v/>
      </c>
      <c r="W21" s="311" t="str">
        <f t="shared" si="10"/>
        <v/>
      </c>
      <c r="X21" s="415" t="str">
        <f t="shared" si="14"/>
        <v/>
      </c>
      <c r="Y21" s="159" t="str">
        <f t="shared" si="11"/>
        <v/>
      </c>
      <c r="Z21" s="148"/>
      <c r="AA21" s="160">
        <f t="shared" si="15"/>
        <v>1</v>
      </c>
      <c r="AB21" s="155">
        <f t="shared" si="16"/>
        <v>1.3333333333333333</v>
      </c>
      <c r="AC21" s="155">
        <f t="shared" si="17"/>
        <v>1.6666666666666667</v>
      </c>
      <c r="AD21" s="155">
        <f t="shared" si="18"/>
        <v>2</v>
      </c>
      <c r="AE21" s="384">
        <f t="shared" si="19"/>
        <v>2.6666666666666665</v>
      </c>
    </row>
    <row r="22" spans="1:31" ht="15.5" x14ac:dyDescent="0.25">
      <c r="A22" s="67"/>
      <c r="B22" s="129">
        <v>16</v>
      </c>
      <c r="C22" s="171"/>
      <c r="D22" s="134"/>
      <c r="E22" s="282"/>
      <c r="F22" s="289"/>
      <c r="G22" s="86"/>
      <c r="H22" s="83" t="str">
        <f t="shared" si="20"/>
        <v/>
      </c>
      <c r="I22" s="87" t="str">
        <f t="shared" si="12"/>
        <v/>
      </c>
      <c r="J22" s="85"/>
      <c r="K22" s="88" t="str">
        <f t="shared" si="21"/>
        <v/>
      </c>
      <c r="L22" s="86" t="str">
        <f t="shared" si="22"/>
        <v/>
      </c>
      <c r="M22" s="89" t="str">
        <f t="shared" si="23"/>
        <v/>
      </c>
      <c r="N22" s="90" t="str">
        <f t="shared" si="24"/>
        <v/>
      </c>
      <c r="O22" s="388">
        <f t="shared" si="13"/>
        <v>0</v>
      </c>
      <c r="P22" s="172"/>
      <c r="Q22" s="130"/>
      <c r="R22" s="140"/>
      <c r="S22" s="156" t="str">
        <f t="shared" si="7"/>
        <v/>
      </c>
      <c r="T22" s="157" t="str">
        <f t="shared" si="8"/>
        <v/>
      </c>
      <c r="U22" s="143"/>
      <c r="V22" s="310" t="str">
        <f t="shared" si="9"/>
        <v/>
      </c>
      <c r="W22" s="311" t="str">
        <f t="shared" si="10"/>
        <v/>
      </c>
      <c r="X22" s="415" t="str">
        <f t="shared" si="14"/>
        <v/>
      </c>
      <c r="Y22" s="159" t="str">
        <f t="shared" si="11"/>
        <v/>
      </c>
      <c r="Z22" s="148"/>
      <c r="AA22" s="160">
        <f t="shared" si="15"/>
        <v>0</v>
      </c>
      <c r="AB22" s="155">
        <f t="shared" si="16"/>
        <v>0</v>
      </c>
      <c r="AC22" s="155">
        <f t="shared" si="17"/>
        <v>0</v>
      </c>
      <c r="AD22" s="155">
        <f t="shared" si="18"/>
        <v>0</v>
      </c>
      <c r="AE22" s="384">
        <f t="shared" si="19"/>
        <v>0</v>
      </c>
    </row>
    <row r="23" spans="1:31" ht="15.5" x14ac:dyDescent="0.25">
      <c r="A23" s="67"/>
      <c r="B23" s="92">
        <v>17</v>
      </c>
      <c r="C23" s="93"/>
      <c r="D23" s="94"/>
      <c r="E23" s="283"/>
      <c r="F23" s="287"/>
      <c r="G23" s="96"/>
      <c r="H23" s="93" t="str">
        <f t="shared" si="20"/>
        <v/>
      </c>
      <c r="I23" s="388" t="str">
        <f t="shared" si="12"/>
        <v/>
      </c>
      <c r="J23" s="95"/>
      <c r="K23" s="98" t="str">
        <f t="shared" si="21"/>
        <v/>
      </c>
      <c r="L23" s="96" t="str">
        <f t="shared" si="22"/>
        <v/>
      </c>
      <c r="M23" s="99" t="str">
        <f t="shared" si="23"/>
        <v/>
      </c>
      <c r="N23" s="100" t="str">
        <f t="shared" si="24"/>
        <v/>
      </c>
      <c r="O23" s="339">
        <f t="shared" si="13"/>
        <v>-2.7</v>
      </c>
      <c r="P23" s="131"/>
      <c r="Q23" s="102"/>
      <c r="R23" s="140"/>
      <c r="S23" s="156" t="str">
        <f t="shared" si="7"/>
        <v/>
      </c>
      <c r="T23" s="157" t="str">
        <f t="shared" si="8"/>
        <v/>
      </c>
      <c r="U23" s="143"/>
      <c r="V23" s="310" t="str">
        <f t="shared" si="9"/>
        <v/>
      </c>
      <c r="W23" s="311" t="str">
        <f t="shared" si="10"/>
        <v/>
      </c>
      <c r="X23" s="415" t="str">
        <f t="shared" si="14"/>
        <v/>
      </c>
      <c r="Y23" s="159" t="str">
        <f t="shared" si="11"/>
        <v/>
      </c>
      <c r="Z23" s="148"/>
      <c r="AA23" s="160">
        <f t="shared" si="15"/>
        <v>-1</v>
      </c>
      <c r="AB23" s="155">
        <f t="shared" si="16"/>
        <v>-1.3333333333333333</v>
      </c>
      <c r="AC23" s="155">
        <f t="shared" si="17"/>
        <v>-1.6666666666666667</v>
      </c>
      <c r="AD23" s="155">
        <f t="shared" si="18"/>
        <v>-2</v>
      </c>
      <c r="AE23" s="384">
        <f t="shared" si="19"/>
        <v>-2.6666666666666665</v>
      </c>
    </row>
    <row r="24" spans="1:31" ht="15.5" x14ac:dyDescent="0.25">
      <c r="A24" s="67"/>
      <c r="B24" s="129"/>
      <c r="C24" s="93"/>
      <c r="D24" s="94"/>
      <c r="E24" s="283"/>
      <c r="F24" s="95"/>
      <c r="G24" s="96"/>
      <c r="H24" s="93" t="str">
        <f t="shared" si="20"/>
        <v/>
      </c>
      <c r="I24" s="339" t="str">
        <f t="shared" si="12"/>
        <v/>
      </c>
      <c r="J24" s="95"/>
      <c r="K24" s="98" t="str">
        <f t="shared" si="21"/>
        <v/>
      </c>
      <c r="L24" s="96" t="str">
        <f t="shared" si="22"/>
        <v/>
      </c>
      <c r="M24" s="99" t="str">
        <f t="shared" si="23"/>
        <v/>
      </c>
      <c r="N24" s="100" t="str">
        <f t="shared" si="24"/>
        <v/>
      </c>
      <c r="O24" s="339" t="e">
        <f t="shared" si="13"/>
        <v>#VALUE!</v>
      </c>
      <c r="P24" s="132"/>
      <c r="Q24" s="102"/>
      <c r="R24" s="140"/>
      <c r="S24" s="156" t="str">
        <f t="shared" si="7"/>
        <v/>
      </c>
      <c r="T24" s="157" t="str">
        <f t="shared" si="8"/>
        <v/>
      </c>
      <c r="U24" s="143"/>
      <c r="V24" s="310" t="str">
        <f t="shared" si="9"/>
        <v/>
      </c>
      <c r="W24" s="311" t="str">
        <f t="shared" si="10"/>
        <v/>
      </c>
      <c r="X24" s="415" t="str">
        <f t="shared" si="14"/>
        <v/>
      </c>
      <c r="Y24" s="159" t="str">
        <f t="shared" si="11"/>
        <v/>
      </c>
      <c r="Z24" s="148"/>
      <c r="AA24" s="160" t="str">
        <f t="shared" si="15"/>
        <v/>
      </c>
      <c r="AB24" s="155" t="str">
        <f t="shared" si="16"/>
        <v/>
      </c>
      <c r="AC24" s="155" t="str">
        <f t="shared" si="17"/>
        <v/>
      </c>
      <c r="AD24" s="155" t="str">
        <f t="shared" si="18"/>
        <v/>
      </c>
      <c r="AE24" s="384" t="str">
        <f t="shared" si="19"/>
        <v/>
      </c>
    </row>
    <row r="25" spans="1:31" ht="15.5" x14ac:dyDescent="0.25">
      <c r="A25" s="67"/>
      <c r="B25" s="92"/>
      <c r="C25" s="93"/>
      <c r="D25" s="94"/>
      <c r="E25" s="283"/>
      <c r="F25" s="95"/>
      <c r="G25" s="96"/>
      <c r="H25" s="93" t="str">
        <f t="shared" si="20"/>
        <v/>
      </c>
      <c r="I25" s="339" t="str">
        <f t="shared" si="12"/>
        <v/>
      </c>
      <c r="J25" s="95"/>
      <c r="K25" s="98" t="str">
        <f t="shared" si="21"/>
        <v/>
      </c>
      <c r="L25" s="96" t="str">
        <f t="shared" si="22"/>
        <v/>
      </c>
      <c r="M25" s="99" t="str">
        <f t="shared" si="23"/>
        <v/>
      </c>
      <c r="N25" s="100" t="str">
        <f t="shared" si="24"/>
        <v/>
      </c>
      <c r="O25" s="339" t="e">
        <f t="shared" si="13"/>
        <v>#VALUE!</v>
      </c>
      <c r="P25" s="132"/>
      <c r="Q25" s="102"/>
      <c r="R25" s="140"/>
      <c r="S25" s="156" t="str">
        <f t="shared" si="7"/>
        <v/>
      </c>
      <c r="T25" s="157" t="str">
        <f t="shared" si="8"/>
        <v/>
      </c>
      <c r="U25" s="143"/>
      <c r="V25" s="310" t="str">
        <f t="shared" si="9"/>
        <v/>
      </c>
      <c r="W25" s="311" t="str">
        <f t="shared" si="10"/>
        <v/>
      </c>
      <c r="X25" s="415" t="str">
        <f t="shared" si="14"/>
        <v/>
      </c>
      <c r="Y25" s="159" t="str">
        <f t="shared" si="11"/>
        <v/>
      </c>
      <c r="Z25" s="148"/>
      <c r="AA25" s="160" t="str">
        <f t="shared" si="15"/>
        <v/>
      </c>
      <c r="AB25" s="155" t="str">
        <f t="shared" si="16"/>
        <v/>
      </c>
      <c r="AC25" s="155" t="str">
        <f t="shared" si="17"/>
        <v/>
      </c>
      <c r="AD25" s="155" t="str">
        <f t="shared" si="18"/>
        <v/>
      </c>
      <c r="AE25" s="384" t="str">
        <f t="shared" si="19"/>
        <v/>
      </c>
    </row>
    <row r="26" spans="1:31" ht="15.5" x14ac:dyDescent="0.25">
      <c r="A26" s="67"/>
      <c r="B26" s="103"/>
      <c r="C26" s="104"/>
      <c r="D26" s="105"/>
      <c r="E26" s="284"/>
      <c r="F26" s="106"/>
      <c r="G26" s="107"/>
      <c r="H26" s="104" t="str">
        <f t="shared" si="20"/>
        <v/>
      </c>
      <c r="I26" s="339" t="str">
        <f t="shared" si="12"/>
        <v/>
      </c>
      <c r="J26" s="118"/>
      <c r="K26" s="119" t="str">
        <f t="shared" si="21"/>
        <v/>
      </c>
      <c r="L26" s="107" t="str">
        <f t="shared" si="22"/>
        <v/>
      </c>
      <c r="M26" s="120" t="str">
        <f t="shared" si="23"/>
        <v/>
      </c>
      <c r="N26" s="121" t="str">
        <f t="shared" si="24"/>
        <v/>
      </c>
      <c r="O26" s="389" t="e">
        <f t="shared" si="13"/>
        <v>#VALUE!</v>
      </c>
      <c r="P26" s="133"/>
      <c r="Q26" s="116"/>
      <c r="R26" s="140"/>
      <c r="S26" s="156" t="str">
        <f t="shared" si="7"/>
        <v/>
      </c>
      <c r="T26" s="157" t="str">
        <f t="shared" si="8"/>
        <v/>
      </c>
      <c r="U26" s="143"/>
      <c r="V26" s="310" t="str">
        <f t="shared" si="9"/>
        <v/>
      </c>
      <c r="W26" s="311" t="str">
        <f t="shared" si="10"/>
        <v/>
      </c>
      <c r="X26" s="415" t="str">
        <f t="shared" si="14"/>
        <v/>
      </c>
      <c r="Y26" s="159" t="str">
        <f t="shared" si="11"/>
        <v/>
      </c>
      <c r="Z26" s="148"/>
      <c r="AA26" s="160" t="str">
        <f t="shared" si="15"/>
        <v/>
      </c>
      <c r="AB26" s="155" t="str">
        <f t="shared" si="16"/>
        <v/>
      </c>
      <c r="AC26" s="155" t="str">
        <f t="shared" si="17"/>
        <v/>
      </c>
      <c r="AD26" s="155" t="str">
        <f t="shared" si="18"/>
        <v/>
      </c>
      <c r="AE26" s="384" t="str">
        <f t="shared" si="19"/>
        <v/>
      </c>
    </row>
    <row r="27" spans="1:31" ht="15.5" x14ac:dyDescent="0.25">
      <c r="A27" s="67"/>
      <c r="B27" s="129"/>
      <c r="C27" s="122"/>
      <c r="D27" s="134" t="str">
        <f t="shared" si="0"/>
        <v/>
      </c>
      <c r="E27" s="124"/>
      <c r="F27" s="124"/>
      <c r="G27" s="126"/>
      <c r="H27" s="83" t="str">
        <f>IFERROR(IF(G27-$Q$2&lt;=0,"",(G27-$Q$2)*86400),"")</f>
        <v/>
      </c>
      <c r="I27" s="389" t="str">
        <f t="shared" si="12"/>
        <v/>
      </c>
      <c r="J27" s="85"/>
      <c r="K27" s="88" t="str">
        <f>IFERROR(H27*(1+0.01*J27)-I27*$N$3,"")</f>
        <v/>
      </c>
      <c r="L27" s="86" t="str">
        <f>IFERROR((K27-$K$7)/86400,"")</f>
        <v/>
      </c>
      <c r="M27" s="89" t="str">
        <f>IFERROR((K27-$K$7)/$N$3,"")</f>
        <v/>
      </c>
      <c r="N27" s="90" t="str">
        <f>IFERROR($N$3/(H27/3600),"")</f>
        <v/>
      </c>
      <c r="O27" s="155" t="e">
        <f t="shared" si="13"/>
        <v>#VALUE!</v>
      </c>
      <c r="P27" s="135"/>
      <c r="Q27" s="130"/>
      <c r="R27" s="140"/>
      <c r="S27" s="156" t="str">
        <f t="shared" si="7"/>
        <v/>
      </c>
      <c r="T27" s="157" t="str">
        <f t="shared" si="8"/>
        <v/>
      </c>
      <c r="U27" s="143"/>
      <c r="V27" s="310" t="str">
        <f t="shared" si="9"/>
        <v/>
      </c>
      <c r="W27" s="311" t="str">
        <f t="shared" si="10"/>
        <v/>
      </c>
      <c r="X27" s="415" t="str">
        <f t="shared" si="14"/>
        <v/>
      </c>
      <c r="Y27" s="159" t="str">
        <f t="shared" si="11"/>
        <v/>
      </c>
      <c r="Z27" s="148"/>
      <c r="AA27" s="160" t="str">
        <f t="shared" si="15"/>
        <v/>
      </c>
      <c r="AB27" s="155" t="str">
        <f t="shared" si="16"/>
        <v/>
      </c>
      <c r="AC27" s="155" t="str">
        <f t="shared" si="17"/>
        <v/>
      </c>
      <c r="AD27" s="380" t="str">
        <f t="shared" ref="AD27:AD31" si="26">IF(ISBLANK(B27),"",IFERROR(30*($P$3-$B27)/($P$3-1)+10,"30.0"))</f>
        <v/>
      </c>
      <c r="AE27" s="384" t="str">
        <f t="shared" si="19"/>
        <v/>
      </c>
    </row>
    <row r="28" spans="1:31" ht="14.25" customHeight="1" x14ac:dyDescent="0.25">
      <c r="A28" s="67"/>
      <c r="B28" s="92"/>
      <c r="C28" s="93"/>
      <c r="D28" s="94" t="str">
        <f t="shared" si="0"/>
        <v/>
      </c>
      <c r="E28" s="95"/>
      <c r="F28" s="95"/>
      <c r="G28" s="96"/>
      <c r="H28" s="93"/>
      <c r="I28" s="97" t="str">
        <f t="shared" si="12"/>
        <v/>
      </c>
      <c r="J28" s="95"/>
      <c r="K28" s="98"/>
      <c r="L28" s="96"/>
      <c r="M28" s="99"/>
      <c r="N28" s="100"/>
      <c r="O28" s="155" t="e">
        <f t="shared" si="13"/>
        <v>#VALUE!</v>
      </c>
      <c r="P28" s="136"/>
      <c r="Q28" s="102"/>
      <c r="R28" s="140"/>
      <c r="S28" s="156" t="str">
        <f t="shared" si="7"/>
        <v/>
      </c>
      <c r="T28" s="157" t="str">
        <f t="shared" si="8"/>
        <v/>
      </c>
      <c r="U28" s="143"/>
      <c r="V28" s="310" t="str">
        <f t="shared" si="9"/>
        <v/>
      </c>
      <c r="W28" s="311" t="str">
        <f t="shared" si="10"/>
        <v/>
      </c>
      <c r="X28" s="415" t="str">
        <f t="shared" si="14"/>
        <v/>
      </c>
      <c r="Y28" s="159" t="str">
        <f t="shared" si="11"/>
        <v/>
      </c>
      <c r="Z28" s="148"/>
      <c r="AA28" s="160" t="str">
        <f t="shared" si="15"/>
        <v/>
      </c>
      <c r="AB28" s="155" t="str">
        <f t="shared" si="16"/>
        <v/>
      </c>
      <c r="AC28" s="155" t="str">
        <f t="shared" si="17"/>
        <v/>
      </c>
      <c r="AD28" s="380" t="str">
        <f t="shared" si="26"/>
        <v/>
      </c>
      <c r="AE28" s="384" t="str">
        <f t="shared" si="19"/>
        <v/>
      </c>
    </row>
    <row r="29" spans="1:31" ht="15.5" x14ac:dyDescent="0.25">
      <c r="A29" s="67"/>
      <c r="B29" s="92"/>
      <c r="C29" s="93"/>
      <c r="D29" s="94" t="str">
        <f t="shared" si="0"/>
        <v/>
      </c>
      <c r="E29" s="95"/>
      <c r="F29" s="95"/>
      <c r="G29" s="96"/>
      <c r="H29" s="93"/>
      <c r="I29" s="97" t="str">
        <f t="shared" si="12"/>
        <v/>
      </c>
      <c r="J29" s="95"/>
      <c r="K29" s="98"/>
      <c r="L29" s="96"/>
      <c r="M29" s="99"/>
      <c r="N29" s="100"/>
      <c r="O29" s="155" t="e">
        <f t="shared" si="13"/>
        <v>#VALUE!</v>
      </c>
      <c r="P29" s="132"/>
      <c r="Q29" s="102"/>
      <c r="R29" s="140"/>
      <c r="S29" s="156" t="str">
        <f t="shared" si="7"/>
        <v/>
      </c>
      <c r="T29" s="157" t="str">
        <f t="shared" si="8"/>
        <v/>
      </c>
      <c r="U29" s="143"/>
      <c r="V29" s="310" t="str">
        <f t="shared" si="9"/>
        <v/>
      </c>
      <c r="W29" s="311" t="str">
        <f t="shared" si="10"/>
        <v/>
      </c>
      <c r="X29" s="415" t="str">
        <f t="shared" si="14"/>
        <v/>
      </c>
      <c r="Y29" s="159" t="str">
        <f t="shared" si="11"/>
        <v/>
      </c>
      <c r="Z29" s="148"/>
      <c r="AA29" s="160" t="str">
        <f t="shared" si="15"/>
        <v/>
      </c>
      <c r="AB29" s="155" t="str">
        <f t="shared" si="16"/>
        <v/>
      </c>
      <c r="AC29" s="155" t="str">
        <f t="shared" si="17"/>
        <v/>
      </c>
      <c r="AD29" s="380" t="str">
        <f t="shared" si="26"/>
        <v/>
      </c>
      <c r="AE29" s="384" t="str">
        <f t="shared" si="19"/>
        <v/>
      </c>
    </row>
    <row r="30" spans="1:31" ht="14.25" customHeight="1" x14ac:dyDescent="0.25">
      <c r="A30" s="67"/>
      <c r="B30" s="92"/>
      <c r="C30" s="93"/>
      <c r="D30" s="94" t="str">
        <f t="shared" si="0"/>
        <v/>
      </c>
      <c r="E30" s="95"/>
      <c r="F30" s="95"/>
      <c r="G30" s="96"/>
      <c r="H30" s="93"/>
      <c r="I30" s="97" t="str">
        <f t="shared" si="12"/>
        <v/>
      </c>
      <c r="J30" s="95"/>
      <c r="K30" s="98"/>
      <c r="L30" s="96"/>
      <c r="M30" s="99"/>
      <c r="N30" s="100"/>
      <c r="O30" s="155" t="e">
        <f t="shared" si="13"/>
        <v>#VALUE!</v>
      </c>
      <c r="P30" s="132"/>
      <c r="Q30" s="102"/>
      <c r="R30" s="140"/>
      <c r="S30" s="156" t="str">
        <f t="shared" si="7"/>
        <v/>
      </c>
      <c r="T30" s="157" t="str">
        <f t="shared" si="8"/>
        <v/>
      </c>
      <c r="U30" s="143"/>
      <c r="V30" s="322" t="str">
        <f t="shared" si="9"/>
        <v/>
      </c>
      <c r="W30" s="311" t="str">
        <f t="shared" si="10"/>
        <v/>
      </c>
      <c r="X30" s="417" t="str">
        <f t="shared" si="14"/>
        <v/>
      </c>
      <c r="Y30" s="159" t="str">
        <f t="shared" si="11"/>
        <v/>
      </c>
      <c r="Z30" s="148"/>
      <c r="AA30" s="160" t="str">
        <f t="shared" si="15"/>
        <v/>
      </c>
      <c r="AB30" s="155" t="str">
        <f t="shared" si="16"/>
        <v/>
      </c>
      <c r="AC30" s="155" t="str">
        <f t="shared" si="17"/>
        <v/>
      </c>
      <c r="AD30" s="380" t="str">
        <f t="shared" si="26"/>
        <v/>
      </c>
      <c r="AE30" s="384" t="str">
        <f t="shared" si="19"/>
        <v/>
      </c>
    </row>
    <row r="31" spans="1:31" ht="16" thickBot="1" x14ac:dyDescent="0.3">
      <c r="A31" s="67"/>
      <c r="B31" s="92"/>
      <c r="C31" s="93"/>
      <c r="D31" s="105" t="str">
        <f t="shared" si="0"/>
        <v/>
      </c>
      <c r="E31" s="106"/>
      <c r="F31" s="95"/>
      <c r="G31" s="96"/>
      <c r="H31" s="104" t="str">
        <f>IFERROR(IF(G31-$Q$2&lt;=0,"",(G31-$Q$2)*86400),"")</f>
        <v/>
      </c>
      <c r="I31" s="117" t="str">
        <f t="shared" si="12"/>
        <v/>
      </c>
      <c r="J31" s="106"/>
      <c r="K31" s="119" t="str">
        <f>IFERROR(H31*(1+0.01*J31)-I31*$N$3,"")</f>
        <v/>
      </c>
      <c r="L31" s="107" t="str">
        <f>IFERROR((K31-$K$7)/86400,"")</f>
        <v/>
      </c>
      <c r="M31" s="120" t="str">
        <f>IFERROR((K31-$K$7)/$N$3,"")</f>
        <v/>
      </c>
      <c r="N31" s="121" t="str">
        <f>IFERROR($N$3/(H31/3600),"")</f>
        <v/>
      </c>
      <c r="O31" s="155" t="e">
        <f t="shared" si="13"/>
        <v>#VALUE!</v>
      </c>
      <c r="P31" s="133"/>
      <c r="Q31" s="116"/>
      <c r="R31" s="140"/>
      <c r="S31" s="161" t="str">
        <f t="shared" si="7"/>
        <v/>
      </c>
      <c r="T31" s="162" t="str">
        <f t="shared" si="8"/>
        <v/>
      </c>
      <c r="U31" s="143"/>
      <c r="V31" s="320" t="str">
        <f t="shared" si="9"/>
        <v/>
      </c>
      <c r="W31" s="321" t="str">
        <f t="shared" si="10"/>
        <v/>
      </c>
      <c r="X31" s="418" t="str">
        <f t="shared" si="14"/>
        <v/>
      </c>
      <c r="Y31" s="314" t="str">
        <f t="shared" si="11"/>
        <v/>
      </c>
      <c r="Z31" s="148"/>
      <c r="AA31" s="385" t="str">
        <f t="shared" ref="AA31" si="27">IF(ISBLANK(A31),"",IFERROR(15*($P$3+1-$B31)/$P$3,"15.0"))</f>
        <v/>
      </c>
      <c r="AB31" s="386" t="str">
        <f t="shared" si="16"/>
        <v/>
      </c>
      <c r="AC31" s="386" t="str">
        <f t="shared" ref="AC31" si="28">IF(ISBLANK(A31),"",IFERROR(25*($P$3+1-$B31)/$P$3,"25.0"))</f>
        <v/>
      </c>
      <c r="AD31" s="381" t="str">
        <f t="shared" si="26"/>
        <v/>
      </c>
      <c r="AE31" s="387" t="str">
        <f t="shared" si="19"/>
        <v/>
      </c>
    </row>
    <row r="32" spans="1:31" ht="15" customHeight="1" x14ac:dyDescent="0.25">
      <c r="A32" s="67"/>
      <c r="B32" s="568" t="s">
        <v>176</v>
      </c>
      <c r="C32" s="569"/>
      <c r="D32" s="570"/>
      <c r="E32" s="137" t="s">
        <v>137</v>
      </c>
      <c r="F32" s="602" t="s">
        <v>204</v>
      </c>
      <c r="G32" s="559"/>
      <c r="H32" s="579" t="s">
        <v>228</v>
      </c>
      <c r="I32" s="580"/>
      <c r="J32" s="580"/>
      <c r="K32" s="580"/>
      <c r="L32" s="580"/>
      <c r="M32" s="580"/>
      <c r="N32" s="580"/>
      <c r="O32" s="580"/>
      <c r="P32" s="580"/>
      <c r="Q32" s="581"/>
      <c r="R32" s="59"/>
      <c r="S32" s="143"/>
      <c r="T32" s="143"/>
      <c r="U32" s="143"/>
      <c r="X32" s="143"/>
      <c r="Y32" s="143"/>
      <c r="Z32" s="143"/>
    </row>
    <row r="33" spans="1:31" ht="15" customHeight="1" x14ac:dyDescent="0.25">
      <c r="A33" s="67"/>
      <c r="B33" s="571"/>
      <c r="C33" s="572"/>
      <c r="D33" s="573"/>
      <c r="E33" s="138" t="s">
        <v>138</v>
      </c>
      <c r="F33" s="560"/>
      <c r="G33" s="561"/>
      <c r="H33" s="582"/>
      <c r="I33" s="583"/>
      <c r="J33" s="583"/>
      <c r="K33" s="583"/>
      <c r="L33" s="583"/>
      <c r="M33" s="583"/>
      <c r="N33" s="583"/>
      <c r="O33" s="583"/>
      <c r="P33" s="583"/>
      <c r="Q33" s="584"/>
      <c r="R33" s="59"/>
      <c r="S33" s="143"/>
      <c r="T33" s="143"/>
      <c r="U33" s="143"/>
      <c r="X33" s="143"/>
      <c r="Y33" s="143"/>
      <c r="Z33" s="143"/>
      <c r="AA33" s="454" t="s">
        <v>270</v>
      </c>
      <c r="AB33" s="454"/>
      <c r="AC33" s="454"/>
      <c r="AD33" s="454"/>
      <c r="AE33" s="454"/>
    </row>
    <row r="34" spans="1:31" ht="23.25" customHeight="1" x14ac:dyDescent="0.25">
      <c r="A34" s="67"/>
      <c r="B34" s="574"/>
      <c r="C34" s="575"/>
      <c r="D34" s="576"/>
      <c r="E34" s="138" t="s">
        <v>139</v>
      </c>
      <c r="F34" s="560"/>
      <c r="G34" s="561"/>
      <c r="H34" s="582"/>
      <c r="I34" s="583"/>
      <c r="J34" s="583"/>
      <c r="K34" s="583"/>
      <c r="L34" s="583"/>
      <c r="M34" s="583"/>
      <c r="N34" s="583"/>
      <c r="O34" s="583"/>
      <c r="P34" s="583"/>
      <c r="Q34" s="584"/>
      <c r="R34" s="59"/>
      <c r="S34" s="143"/>
      <c r="T34" s="143"/>
      <c r="U34" s="143"/>
      <c r="X34" s="143"/>
      <c r="Y34" s="143"/>
      <c r="Z34" s="143"/>
    </row>
    <row r="35" spans="1:31" ht="22.5" customHeight="1" x14ac:dyDescent="0.25">
      <c r="A35" s="67"/>
      <c r="B35" s="590" t="s">
        <v>177</v>
      </c>
      <c r="C35" s="591"/>
      <c r="D35" s="592"/>
      <c r="E35" s="562" t="s">
        <v>141</v>
      </c>
      <c r="F35" s="560" t="str">
        <f>参照ﾃﾞｰﾀ!AB8</f>
        <v>かまくら</v>
      </c>
      <c r="G35" s="561"/>
      <c r="H35" s="582"/>
      <c r="I35" s="583"/>
      <c r="J35" s="583"/>
      <c r="K35" s="583"/>
      <c r="L35" s="583"/>
      <c r="M35" s="583"/>
      <c r="N35" s="583"/>
      <c r="O35" s="583"/>
      <c r="P35" s="583"/>
      <c r="Q35" s="584"/>
      <c r="R35" s="59"/>
      <c r="S35" s="143"/>
      <c r="T35" s="143"/>
      <c r="U35" s="143"/>
      <c r="X35" s="143"/>
      <c r="Y35" s="143"/>
      <c r="Z35" s="143"/>
    </row>
    <row r="36" spans="1:31" ht="15" customHeight="1" x14ac:dyDescent="0.25">
      <c r="A36" s="67"/>
      <c r="B36" s="593"/>
      <c r="C36" s="594"/>
      <c r="D36" s="595"/>
      <c r="E36" s="601"/>
      <c r="F36" s="560"/>
      <c r="G36" s="561"/>
      <c r="H36" s="582"/>
      <c r="I36" s="583"/>
      <c r="J36" s="583"/>
      <c r="K36" s="583"/>
      <c r="L36" s="583"/>
      <c r="M36" s="583"/>
      <c r="N36" s="583"/>
      <c r="O36" s="583"/>
      <c r="P36" s="583"/>
      <c r="Q36" s="584"/>
      <c r="R36" s="59"/>
      <c r="S36" s="143"/>
      <c r="T36" s="143"/>
      <c r="U36" s="143"/>
      <c r="X36" s="143"/>
      <c r="Y36" s="143"/>
      <c r="Z36" s="143"/>
    </row>
    <row r="37" spans="1:31" ht="15" customHeight="1" x14ac:dyDescent="0.25">
      <c r="A37" s="67"/>
      <c r="B37" s="593"/>
      <c r="C37" s="594"/>
      <c r="D37" s="595"/>
      <c r="E37" s="137" t="s">
        <v>140</v>
      </c>
      <c r="F37" s="558">
        <f>参照ﾃﾞｰﾀ!J9</f>
        <v>46194</v>
      </c>
      <c r="G37" s="559"/>
      <c r="H37" s="582"/>
      <c r="I37" s="583"/>
      <c r="J37" s="583"/>
      <c r="K37" s="583"/>
      <c r="L37" s="583"/>
      <c r="M37" s="583"/>
      <c r="N37" s="583"/>
      <c r="O37" s="583"/>
      <c r="P37" s="583"/>
      <c r="Q37" s="584"/>
      <c r="R37" s="59"/>
      <c r="S37" s="143"/>
      <c r="T37" s="143"/>
      <c r="U37" s="143"/>
      <c r="X37" s="143"/>
      <c r="Y37" s="143"/>
      <c r="Z37" s="143"/>
    </row>
    <row r="38" spans="1:31" ht="15" customHeight="1" x14ac:dyDescent="0.25">
      <c r="A38" s="67"/>
      <c r="B38" s="593"/>
      <c r="C38" s="594"/>
      <c r="D38" s="595"/>
      <c r="E38" s="138" t="s">
        <v>153</v>
      </c>
      <c r="F38" s="560" t="str">
        <f>参照ﾃﾞｰﾀ!AA9</f>
        <v>A</v>
      </c>
      <c r="G38" s="561"/>
      <c r="H38" s="582"/>
      <c r="I38" s="583"/>
      <c r="J38" s="583"/>
      <c r="K38" s="583"/>
      <c r="L38" s="583"/>
      <c r="M38" s="583"/>
      <c r="N38" s="583"/>
      <c r="O38" s="583"/>
      <c r="P38" s="583"/>
      <c r="Q38" s="584"/>
      <c r="R38" s="59"/>
      <c r="S38" s="143"/>
      <c r="T38" s="143"/>
      <c r="U38" s="143"/>
      <c r="X38" s="143"/>
      <c r="Y38" s="143"/>
      <c r="Z38" s="143"/>
    </row>
    <row r="39" spans="1:31" ht="15" customHeight="1" x14ac:dyDescent="0.25">
      <c r="A39" s="67"/>
      <c r="B39" s="593"/>
      <c r="C39" s="594"/>
      <c r="D39" s="595"/>
      <c r="E39" s="562" t="s">
        <v>141</v>
      </c>
      <c r="F39" s="560" t="str">
        <f>参照ﾃﾞｰﾀ!AB9</f>
        <v>IDEAL</v>
      </c>
      <c r="G39" s="561"/>
      <c r="H39" s="582"/>
      <c r="I39" s="583"/>
      <c r="J39" s="583"/>
      <c r="K39" s="583"/>
      <c r="L39" s="583"/>
      <c r="M39" s="583"/>
      <c r="N39" s="583"/>
      <c r="O39" s="583"/>
      <c r="P39" s="583"/>
      <c r="Q39" s="584"/>
      <c r="R39" s="59"/>
      <c r="S39" s="143"/>
      <c r="T39" s="143"/>
      <c r="U39" s="143"/>
      <c r="X39" s="143"/>
      <c r="Y39" s="143"/>
      <c r="Z39" s="143"/>
    </row>
    <row r="40" spans="1:31" ht="15" customHeight="1" x14ac:dyDescent="0.25">
      <c r="A40" s="67"/>
      <c r="B40" s="593"/>
      <c r="C40" s="594"/>
      <c r="D40" s="595"/>
      <c r="E40" s="562"/>
      <c r="F40" s="560"/>
      <c r="G40" s="561"/>
      <c r="H40" s="582"/>
      <c r="I40" s="583"/>
      <c r="J40" s="583"/>
      <c r="K40" s="583"/>
      <c r="L40" s="583"/>
      <c r="M40" s="583"/>
      <c r="N40" s="583"/>
      <c r="O40" s="583"/>
      <c r="P40" s="583"/>
      <c r="Q40" s="584"/>
      <c r="R40" s="59"/>
      <c r="S40" s="143"/>
      <c r="T40" s="143"/>
      <c r="U40" s="143"/>
      <c r="X40" s="143"/>
      <c r="Y40" s="143"/>
      <c r="Z40" s="143"/>
    </row>
    <row r="41" spans="1:31" ht="11.25" customHeight="1" thickBot="1" x14ac:dyDescent="0.3">
      <c r="A41" s="67"/>
      <c r="B41" s="596"/>
      <c r="C41" s="597"/>
      <c r="D41" s="598"/>
      <c r="E41" s="139"/>
      <c r="F41" s="599"/>
      <c r="G41" s="600"/>
      <c r="H41" s="585"/>
      <c r="I41" s="586"/>
      <c r="J41" s="586"/>
      <c r="K41" s="586"/>
      <c r="L41" s="586"/>
      <c r="M41" s="586"/>
      <c r="N41" s="586"/>
      <c r="O41" s="586"/>
      <c r="P41" s="586"/>
      <c r="Q41" s="587"/>
      <c r="R41" s="59"/>
      <c r="S41" s="143"/>
      <c r="T41" s="143"/>
      <c r="U41" s="143"/>
      <c r="V41" s="143"/>
      <c r="W41" s="143"/>
      <c r="X41" s="143"/>
      <c r="Y41" s="143"/>
      <c r="Z41" s="143"/>
    </row>
    <row r="42" spans="1:31" x14ac:dyDescent="0.2">
      <c r="A42" s="67"/>
      <c r="B42" s="67"/>
      <c r="C42" s="67"/>
      <c r="D42" s="67"/>
      <c r="E42" s="67"/>
      <c r="F42" s="67"/>
      <c r="G42" s="67"/>
      <c r="H42" s="67"/>
      <c r="I42" s="67"/>
      <c r="J42" s="67"/>
      <c r="K42" s="67"/>
      <c r="L42" s="67"/>
      <c r="M42" s="67"/>
      <c r="N42" s="67"/>
      <c r="O42" s="67"/>
      <c r="P42" s="67"/>
      <c r="Q42" s="67"/>
      <c r="R42" s="67"/>
    </row>
  </sheetData>
  <sheetProtection algorithmName="SHA-512" hashValue="l3Y0G2dXx2lpjdhPz/36NfPcC7fGQMY6jEJ+CmjpULUKZ730iduZMl2j10ZUHt2mMiW5AjgFkH4YUhAw8pYNXg==" saltValue="0CwMUxYD+zQgEhklSSYwNg==" spinCount="100000" sheet="1" objects="1" scenarios="1"/>
  <sortState xmlns:xlrd2="http://schemas.microsoft.com/office/spreadsheetml/2017/richdata2" ref="C7:K20">
    <sortCondition ref="K7:K20"/>
  </sortState>
  <mergeCells count="19">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 ref="F40:G40"/>
    <mergeCell ref="D2:F2"/>
    <mergeCell ref="E3:I3"/>
  </mergeCells>
  <phoneticPr fontId="70"/>
  <dataValidations count="9">
    <dataValidation type="list" allowBlank="1" showInputMessage="1" showErrorMessage="1" sqref="D3" xr:uid="{00000000-0002-0000-0400-000000000000}">
      <formula1>レース番号</formula1>
    </dataValidation>
    <dataValidation type="list" allowBlank="1" showInputMessage="1" showErrorMessage="1" sqref="I6" xr:uid="{00000000-0002-0000-0400-000001000000}">
      <formula1>ＴＡ</formula1>
    </dataValidation>
    <dataValidation type="list" showInputMessage="1" showErrorMessage="1" sqref="E3" xr:uid="{00000000-0002-0000-0400-000002000000}">
      <formula1>レース名</formula1>
    </dataValidation>
    <dataValidation type="list" allowBlank="1" showInputMessage="1" showErrorMessage="1" sqref="N2 F38:G38" xr:uid="{00000000-0002-0000-0400-000003000000}">
      <formula1>コース</formula1>
    </dataValidation>
    <dataValidation type="list" allowBlank="1" showInputMessage="1" showErrorMessage="1" sqref="G2" xr:uid="{00000000-0002-0000-0400-000004000000}">
      <formula1>月</formula1>
    </dataValidation>
    <dataValidation type="list" allowBlank="1" showInputMessage="1" showErrorMessage="1" sqref="J3:K3" xr:uid="{00000000-0002-0000-0400-000005000000}">
      <formula1>暫定</formula1>
    </dataValidation>
    <dataValidation type="list" allowBlank="1" showInputMessage="1" showErrorMessage="1" sqref="Q2" xr:uid="{00000000-0002-0000-0400-000006000000}">
      <formula1>時刻</formula1>
    </dataValidation>
    <dataValidation type="list" allowBlank="1" showInputMessage="1" showErrorMessage="1" sqref="P2 F37:G37" xr:uid="{00000000-0002-0000-0400-000007000000}">
      <formula1>開催日</formula1>
    </dataValidation>
    <dataValidation type="list" allowBlank="1" showInputMessage="1" showErrorMessage="1" sqref="O6" xr:uid="{4275DED1-A61D-4323-8CF4-34BC016C642E}">
      <formula1>$AA$6:$AE$6</formula1>
    </dataValidation>
  </dataValidations>
  <pageMargins left="0.31496062992125984" right="0" top="0.35433070866141736" bottom="0.19685039370078741" header="0" footer="0"/>
  <pageSetup paperSize="9" scale="92"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E42"/>
  <sheetViews>
    <sheetView zoomScale="85" zoomScaleNormal="85" workbookViewId="0">
      <selection activeCell="G24" sqref="G24"/>
    </sheetView>
  </sheetViews>
  <sheetFormatPr defaultColWidth="9" defaultRowHeight="13" x14ac:dyDescent="0.2"/>
  <cols>
    <col min="1" max="1" width="1.7265625" style="142" customWidth="1"/>
    <col min="2" max="2" width="5" style="142" customWidth="1"/>
    <col min="3" max="3" width="7" style="142" customWidth="1"/>
    <col min="4" max="4" width="18" style="142" customWidth="1"/>
    <col min="5" max="5" width="8" style="142" hidden="1" customWidth="1"/>
    <col min="6" max="6" width="5" style="142" customWidth="1"/>
    <col min="7" max="7" width="10.90625" style="142" customWidth="1"/>
    <col min="8" max="8" width="8.36328125" style="142" customWidth="1"/>
    <col min="9" max="9" width="8.6328125" style="142" customWidth="1"/>
    <col min="10" max="10" width="5" style="142" customWidth="1"/>
    <col min="11" max="11" width="8.453125" style="142" customWidth="1"/>
    <col min="12" max="12" width="10.6328125" style="142" bestFit="1" customWidth="1"/>
    <col min="13" max="13" width="9.453125" style="142" customWidth="1"/>
    <col min="14" max="14" width="7.90625" style="142" customWidth="1"/>
    <col min="15" max="15" width="8" style="142" customWidth="1"/>
    <col min="16" max="16" width="12" style="142" bestFit="1" customWidth="1"/>
    <col min="17" max="17" width="11.6328125" style="142" customWidth="1"/>
    <col min="18" max="18" width="4.90625" style="142" customWidth="1"/>
    <col min="19" max="21" width="7.6328125" style="142" hidden="1" customWidth="1"/>
    <col min="22" max="22" width="8.26953125" style="142" customWidth="1"/>
    <col min="23" max="25" width="7.6328125" style="142" customWidth="1"/>
    <col min="26" max="26" width="4.453125" style="142" customWidth="1"/>
    <col min="27" max="29" width="8" style="142" customWidth="1"/>
    <col min="30" max="16384" width="9" style="142"/>
  </cols>
  <sheetData>
    <row r="1" spans="1:31" ht="9.75" customHeight="1" thickBot="1" x14ac:dyDescent="0.25">
      <c r="A1" s="67"/>
      <c r="B1" s="67"/>
      <c r="C1" s="67"/>
      <c r="D1" s="67"/>
      <c r="E1" s="67"/>
      <c r="F1" s="67"/>
      <c r="G1" s="67"/>
      <c r="H1" s="67"/>
      <c r="I1" s="67"/>
      <c r="J1" s="67"/>
      <c r="K1" s="67"/>
      <c r="L1" s="67"/>
      <c r="M1" s="67"/>
      <c r="N1" s="67"/>
      <c r="O1" s="67"/>
      <c r="P1" s="67"/>
      <c r="Q1" s="67"/>
      <c r="R1" s="67"/>
    </row>
    <row r="2" spans="1:31" ht="21" x14ac:dyDescent="0.3">
      <c r="A2" s="67"/>
      <c r="B2" s="59"/>
      <c r="C2" s="60"/>
      <c r="D2" s="563" t="str">
        <f>参照ﾃﾞｰﾀ!F4</f>
        <v>2026年</v>
      </c>
      <c r="E2" s="563"/>
      <c r="F2" s="563"/>
      <c r="G2" s="61" t="s">
        <v>146</v>
      </c>
      <c r="H2" s="272"/>
      <c r="I2" s="63"/>
      <c r="J2" s="59"/>
      <c r="K2" s="64"/>
      <c r="L2" s="59"/>
      <c r="M2" s="65" t="s">
        <v>33</v>
      </c>
      <c r="N2" s="457" t="str">
        <f>参照ﾃﾞｰﾀ!AA9</f>
        <v>A</v>
      </c>
      <c r="O2" s="66" t="s">
        <v>35</v>
      </c>
      <c r="P2" s="183">
        <f>参照ﾃﾞｰﾀ!J9</f>
        <v>46194</v>
      </c>
      <c r="Q2" s="507">
        <v>0.4375</v>
      </c>
      <c r="R2" s="59"/>
      <c r="S2" s="144" t="s">
        <v>2</v>
      </c>
      <c r="T2" s="143"/>
      <c r="U2" s="143"/>
      <c r="V2" s="144" t="str">
        <f>参照ＴＡ!AU3</f>
        <v>2026年</v>
      </c>
      <c r="W2" s="144" t="str">
        <f>参照ＴＡ!AW3</f>
        <v>6月</v>
      </c>
      <c r="X2" s="143"/>
      <c r="Y2" s="143"/>
      <c r="Z2" s="143"/>
    </row>
    <row r="3" spans="1:31" ht="21.75" customHeight="1" thickBot="1" x14ac:dyDescent="0.35">
      <c r="A3" s="67"/>
      <c r="B3" s="59"/>
      <c r="C3" s="67"/>
      <c r="D3" s="68" t="str">
        <f>参照ﾃﾞｰﾀ!M9</f>
        <v>＃621</v>
      </c>
      <c r="E3" s="603" t="s">
        <v>45</v>
      </c>
      <c r="F3" s="603"/>
      <c r="G3" s="603"/>
      <c r="H3" s="603"/>
      <c r="I3" s="603"/>
      <c r="J3" s="565" t="s">
        <v>36</v>
      </c>
      <c r="K3" s="565"/>
      <c r="L3" s="59"/>
      <c r="M3" s="69" t="s">
        <v>56</v>
      </c>
      <c r="N3" s="70">
        <f>IF(ISBLANK(N2),"",VLOOKUP(N2,コース・距離,2,FALSE))</f>
        <v>24.2</v>
      </c>
      <c r="O3" s="71" t="s">
        <v>0</v>
      </c>
      <c r="P3" s="456">
        <v>15</v>
      </c>
      <c r="Q3" s="72" t="s">
        <v>1</v>
      </c>
      <c r="R3" s="59"/>
      <c r="S3" s="143" t="s">
        <v>168</v>
      </c>
      <c r="T3" s="143"/>
      <c r="U3" s="143"/>
      <c r="V3" s="144" t="s">
        <v>2</v>
      </c>
      <c r="W3" s="143"/>
      <c r="X3" s="143"/>
      <c r="Y3" s="143"/>
      <c r="Z3" s="143"/>
      <c r="AA3" s="145" t="s">
        <v>57</v>
      </c>
    </row>
    <row r="4" spans="1:31" ht="7.5" customHeight="1" thickBot="1" x14ac:dyDescent="0.3">
      <c r="A4" s="67"/>
      <c r="B4" s="59"/>
      <c r="C4" s="59"/>
      <c r="D4" s="59"/>
      <c r="E4" s="59"/>
      <c r="F4" s="59"/>
      <c r="G4" s="59"/>
      <c r="H4" s="59"/>
      <c r="I4" s="59"/>
      <c r="J4" s="59"/>
      <c r="K4" s="59"/>
      <c r="L4" s="59"/>
      <c r="M4" s="59"/>
      <c r="N4" s="59"/>
      <c r="O4" s="59"/>
      <c r="P4" s="59"/>
      <c r="Q4" s="59"/>
      <c r="R4" s="59"/>
      <c r="S4" s="143"/>
      <c r="T4" s="143"/>
      <c r="U4" s="143"/>
      <c r="V4" s="146"/>
      <c r="W4" s="143"/>
      <c r="X4" s="143"/>
      <c r="Y4" s="143"/>
      <c r="Z4" s="143"/>
    </row>
    <row r="5" spans="1:31" ht="14" x14ac:dyDescent="0.2">
      <c r="A5" s="67"/>
      <c r="B5" s="73" t="s">
        <v>3</v>
      </c>
      <c r="C5" s="74" t="s">
        <v>4</v>
      </c>
      <c r="D5" s="74" t="s">
        <v>5</v>
      </c>
      <c r="E5" s="74" t="s">
        <v>6</v>
      </c>
      <c r="F5" s="74" t="s">
        <v>7</v>
      </c>
      <c r="G5" s="74" t="s">
        <v>8</v>
      </c>
      <c r="H5" s="74" t="s">
        <v>9</v>
      </c>
      <c r="I5" s="74" t="s">
        <v>10</v>
      </c>
      <c r="J5" s="74" t="s">
        <v>11</v>
      </c>
      <c r="K5" s="74" t="s">
        <v>12</v>
      </c>
      <c r="L5" s="75" t="s">
        <v>178</v>
      </c>
      <c r="M5" s="75" t="s">
        <v>175</v>
      </c>
      <c r="N5" s="74" t="s">
        <v>52</v>
      </c>
      <c r="O5" s="74" t="s">
        <v>13</v>
      </c>
      <c r="P5" s="566" t="s">
        <v>51</v>
      </c>
      <c r="Q5" s="567"/>
      <c r="R5" s="140"/>
      <c r="S5" s="149" t="s">
        <v>10</v>
      </c>
      <c r="T5" s="147" t="s">
        <v>10</v>
      </c>
      <c r="U5" s="150" t="s">
        <v>10</v>
      </c>
      <c r="V5" s="149" t="s">
        <v>10</v>
      </c>
      <c r="W5" s="147" t="s">
        <v>10</v>
      </c>
      <c r="X5" s="316" t="s">
        <v>10</v>
      </c>
      <c r="Y5" s="150" t="s">
        <v>10</v>
      </c>
      <c r="Z5" s="148"/>
      <c r="AA5" s="149" t="s">
        <v>13</v>
      </c>
      <c r="AB5" s="147" t="s">
        <v>13</v>
      </c>
      <c r="AC5" s="316" t="s">
        <v>13</v>
      </c>
      <c r="AD5" s="147" t="s">
        <v>13</v>
      </c>
      <c r="AE5" s="374" t="s">
        <v>13</v>
      </c>
    </row>
    <row r="6" spans="1:31" ht="14" x14ac:dyDescent="0.2">
      <c r="A6" s="67"/>
      <c r="B6" s="76"/>
      <c r="C6" s="77" t="s">
        <v>14</v>
      </c>
      <c r="D6" s="78"/>
      <c r="E6" s="79" t="s">
        <v>15</v>
      </c>
      <c r="F6" s="79"/>
      <c r="G6" s="77" t="s">
        <v>16</v>
      </c>
      <c r="H6" s="79" t="s">
        <v>17</v>
      </c>
      <c r="I6" s="455" t="s">
        <v>166</v>
      </c>
      <c r="J6" s="79" t="s">
        <v>18</v>
      </c>
      <c r="K6" s="79" t="s">
        <v>17</v>
      </c>
      <c r="L6" s="77" t="s">
        <v>16</v>
      </c>
      <c r="M6" s="79" t="s">
        <v>31</v>
      </c>
      <c r="N6" s="79" t="s">
        <v>19</v>
      </c>
      <c r="O6" s="373" t="str">
        <f>参照ﾃﾞｰﾀ!K9</f>
        <v>MAX=30</v>
      </c>
      <c r="P6" s="80"/>
      <c r="Q6" s="81"/>
      <c r="R6" s="141"/>
      <c r="S6" s="153" t="s">
        <v>20</v>
      </c>
      <c r="T6" s="151" t="s">
        <v>22</v>
      </c>
      <c r="U6" s="154" t="s">
        <v>21</v>
      </c>
      <c r="V6" s="153" t="s">
        <v>20</v>
      </c>
      <c r="W6" s="151" t="s">
        <v>22</v>
      </c>
      <c r="X6" s="414" t="s">
        <v>21</v>
      </c>
      <c r="Y6" s="154" t="s">
        <v>230</v>
      </c>
      <c r="Z6" s="152"/>
      <c r="AA6" s="382" t="s">
        <v>192</v>
      </c>
      <c r="AB6" s="373" t="s">
        <v>59</v>
      </c>
      <c r="AC6" s="383" t="s">
        <v>191</v>
      </c>
      <c r="AD6" s="373" t="s">
        <v>231</v>
      </c>
      <c r="AE6" s="379" t="s">
        <v>232</v>
      </c>
    </row>
    <row r="7" spans="1:31" ht="14" x14ac:dyDescent="0.2">
      <c r="A7" s="67"/>
      <c r="B7" s="82">
        <v>1</v>
      </c>
      <c r="C7" s="83"/>
      <c r="D7" s="84" t="str">
        <f t="shared" ref="D7:D31" si="0">IF(ISBLANK(C7),"",VLOOKUP(C7,第6月ＴＡ,2,FALSE))</f>
        <v/>
      </c>
      <c r="E7" s="168" t="str">
        <f t="shared" ref="E7:E11" si="1">IF($I$6="Ⅰ",S7,IF($I$6="Ⅱ",T7,IF($I$6="Ⅲ",U7,"")))</f>
        <v/>
      </c>
      <c r="F7" s="85">
        <v>1</v>
      </c>
      <c r="G7" s="86"/>
      <c r="H7" s="83" t="str">
        <f t="shared" ref="H7:H11" si="2">IFERROR(IF(G7-$Q$2&lt;=0,"",(G7-$Q$2)*86400),"")</f>
        <v/>
      </c>
      <c r="I7" s="87" t="str">
        <f>IF($I$6="Ⅰ",V7,IF($I$6="Ⅱ",W7,IF($I$6="Ⅲ",X7,IF($I$6="IV",Y7,""))))</f>
        <v/>
      </c>
      <c r="J7" s="85"/>
      <c r="K7" s="88" t="str">
        <f t="shared" ref="K7:K11" si="3">IFERROR(H7*(1+0.01*J7)-I7*$N$3,"")</f>
        <v/>
      </c>
      <c r="L7" s="86" t="str">
        <f t="shared" ref="L7:L11" si="4">IFERROR((K7-$K$7)/86400,"")</f>
        <v/>
      </c>
      <c r="M7" s="89" t="str">
        <f t="shared" ref="M7:M11" si="5">IFERROR((K7-$K$7)/$N$3,"")</f>
        <v/>
      </c>
      <c r="N7" s="90" t="str">
        <f t="shared" ref="N7:N11" si="6">IFERROR($N$3/(H7/3600),"")</f>
        <v/>
      </c>
      <c r="O7" s="388">
        <f>ROUND(IF($O$6="MAX=15",AA7,IF($O$6="MAX=20",AB7,IF($O$6="MAX=25",AC7,IF($O$6="MAX=30",AD7,IF($O$6="MAX=40",AE7))))),1)</f>
        <v>30</v>
      </c>
      <c r="P7" s="263"/>
      <c r="Q7" s="91"/>
      <c r="R7" s="140"/>
      <c r="S7" s="156" t="str">
        <f t="shared" ref="S7:S31" si="7">IF(ISBLANK(C7),"",VLOOKUP(C7,各艇データ,3,FALSE))</f>
        <v/>
      </c>
      <c r="T7" s="157" t="str">
        <f t="shared" ref="T7:T31" si="8">IF(ISBLANK(C7),"",VLOOKUP(C7,各艇データ,4,FALSE))</f>
        <v/>
      </c>
      <c r="U7" s="158" t="str">
        <f t="shared" ref="U7:U31" si="9">IF(ISBLANK(C7),"",VLOOKUP(C7,各艇データ,5,FALSE))</f>
        <v/>
      </c>
      <c r="V7" s="310" t="str">
        <f t="shared" ref="V7:V31" si="10">IF(ISBLANK(C7),"",VLOOKUP(C7,第6月ＴＡ,3,FALSE))</f>
        <v/>
      </c>
      <c r="W7" s="311" t="str">
        <f t="shared" ref="W7:W31" si="11">IF(ISBLANK(C7),"",VLOOKUP(C7,第6月ＴＡ,4,FALSE))</f>
        <v/>
      </c>
      <c r="X7" s="415" t="str">
        <f t="shared" ref="X7:X31" si="12">IF(ISBLANK(C7),"",VLOOKUP(C7,第6月ＴＡ,5,FALSE))</f>
        <v/>
      </c>
      <c r="Y7" s="159" t="str">
        <f t="shared" ref="Y7:Y31" si="13">IF(ISBLANK(C7),"",VLOOKUP(C7,第1月ＴＡ,6,FALSE))</f>
        <v/>
      </c>
      <c r="Z7" s="148"/>
      <c r="AA7" s="160">
        <f>IF(ISBLANK($B7),"",IFERROR(15*($P$3+1-$B7)/$P$3,"15.0"))</f>
        <v>15</v>
      </c>
      <c r="AB7" s="155">
        <f>IF(ISBLANK($B7),"",IFERROR(20*($P$3+1-$B7)/$P$3,"20.0"))</f>
        <v>20</v>
      </c>
      <c r="AC7" s="155">
        <f>IF(ISBLANK($B7),"",IFERROR(25*($P$3+1-$B7)/$P$3,"25.0"))</f>
        <v>25</v>
      </c>
      <c r="AD7" s="155">
        <f>IF(ISBLANK($B7),"",IFERROR(30*($P$3+1-$B7)/$P$3,"30.0"))</f>
        <v>30</v>
      </c>
      <c r="AE7" s="384">
        <f>IF(ISBLANK($B7),"",IFERROR(40*($P$3+1-$B7)/$P$3,"40.0"))</f>
        <v>40</v>
      </c>
    </row>
    <row r="8" spans="1:31" ht="14" x14ac:dyDescent="0.2">
      <c r="A8" s="67"/>
      <c r="B8" s="92">
        <v>2</v>
      </c>
      <c r="C8" s="93"/>
      <c r="D8" s="94" t="str">
        <f t="shared" si="0"/>
        <v/>
      </c>
      <c r="E8" s="169" t="str">
        <f t="shared" si="1"/>
        <v/>
      </c>
      <c r="F8" s="95">
        <v>2</v>
      </c>
      <c r="G8" s="96"/>
      <c r="H8" s="93" t="str">
        <f t="shared" si="2"/>
        <v/>
      </c>
      <c r="I8" s="97" t="str">
        <f t="shared" ref="I8:I31" si="14">IF($I$6="Ⅰ",V8,IF($I$6="Ⅱ",W8,IF($I$6="Ⅲ",X8,IF($I$6="IV",Y8,""))))</f>
        <v/>
      </c>
      <c r="J8" s="95"/>
      <c r="K8" s="98" t="str">
        <f t="shared" si="3"/>
        <v/>
      </c>
      <c r="L8" s="96" t="str">
        <f t="shared" si="4"/>
        <v/>
      </c>
      <c r="M8" s="99" t="str">
        <f t="shared" si="5"/>
        <v/>
      </c>
      <c r="N8" s="100" t="str">
        <f t="shared" si="6"/>
        <v/>
      </c>
      <c r="O8" s="339">
        <f t="shared" ref="O8:O31" si="15">ROUND(IF($O$6="MAX=15",AA8,IF($O$6="MAX=20",AB8,IF($O$6="MAX=25",AC8,IF($O$6="MAX=30",AD8,IF($O$6="MAX=40",AE8))))),1)</f>
        <v>28</v>
      </c>
      <c r="P8" s="131"/>
      <c r="Q8" s="102"/>
      <c r="R8" s="140"/>
      <c r="S8" s="156" t="str">
        <f t="shared" si="7"/>
        <v/>
      </c>
      <c r="T8" s="157" t="str">
        <f t="shared" si="8"/>
        <v/>
      </c>
      <c r="U8" s="158" t="str">
        <f t="shared" si="9"/>
        <v/>
      </c>
      <c r="V8" s="310" t="str">
        <f t="shared" si="10"/>
        <v/>
      </c>
      <c r="W8" s="311" t="str">
        <f t="shared" si="11"/>
        <v/>
      </c>
      <c r="X8" s="415" t="str">
        <f t="shared" si="12"/>
        <v/>
      </c>
      <c r="Y8" s="159" t="str">
        <f t="shared" si="13"/>
        <v/>
      </c>
      <c r="Z8" s="148"/>
      <c r="AA8" s="160">
        <f t="shared" ref="AA8:AA30" si="16">IF(ISBLANK($B8),"",IFERROR(15*($P$3+1-$B8)/$P$3,"15.0"))</f>
        <v>14</v>
      </c>
      <c r="AB8" s="155">
        <f t="shared" ref="AB8:AB31" si="17">IF(ISBLANK($B8),"",IFERROR(20*($P$3+1-$B8)/$P$3,"20.0"))</f>
        <v>18.666666666666668</v>
      </c>
      <c r="AC8" s="155">
        <f t="shared" ref="AC8:AC26" si="18">IF(ISBLANK($B8),"",IFERROR(25*($P$3+1-$B8)/$P$3,"25.0"))</f>
        <v>23.333333333333332</v>
      </c>
      <c r="AD8" s="155">
        <f t="shared" ref="AD8:AD26" si="19">IF(ISBLANK($B8),"",IFERROR(30*($P$3+1-$B8)/$P$3,"30.0"))</f>
        <v>28</v>
      </c>
      <c r="AE8" s="384">
        <f t="shared" ref="AE8:AE31" si="20">IF(ISBLANK($B8),"",IFERROR(40*($P$3+1-$B8)/$P$3,"40.0"))</f>
        <v>37.333333333333336</v>
      </c>
    </row>
    <row r="9" spans="1:31" ht="14" x14ac:dyDescent="0.2">
      <c r="A9" s="67"/>
      <c r="B9" s="92">
        <v>3</v>
      </c>
      <c r="C9" s="93"/>
      <c r="D9" s="94" t="str">
        <f t="shared" si="0"/>
        <v/>
      </c>
      <c r="E9" s="169" t="str">
        <f t="shared" si="1"/>
        <v/>
      </c>
      <c r="F9" s="95">
        <v>3</v>
      </c>
      <c r="G9" s="96"/>
      <c r="H9" s="93" t="str">
        <f t="shared" si="2"/>
        <v/>
      </c>
      <c r="I9" s="97" t="str">
        <f t="shared" si="14"/>
        <v/>
      </c>
      <c r="J9" s="95"/>
      <c r="K9" s="98" t="str">
        <f t="shared" si="3"/>
        <v/>
      </c>
      <c r="L9" s="96" t="str">
        <f t="shared" si="4"/>
        <v/>
      </c>
      <c r="M9" s="99" t="str">
        <f t="shared" si="5"/>
        <v/>
      </c>
      <c r="N9" s="100" t="str">
        <f t="shared" si="6"/>
        <v/>
      </c>
      <c r="O9" s="339">
        <f t="shared" si="15"/>
        <v>26</v>
      </c>
      <c r="P9" s="131"/>
      <c r="Q9" s="102"/>
      <c r="R9" s="140"/>
      <c r="S9" s="156" t="str">
        <f t="shared" si="7"/>
        <v/>
      </c>
      <c r="T9" s="157" t="str">
        <f t="shared" si="8"/>
        <v/>
      </c>
      <c r="U9" s="158" t="str">
        <f t="shared" si="9"/>
        <v/>
      </c>
      <c r="V9" s="310" t="str">
        <f t="shared" si="10"/>
        <v/>
      </c>
      <c r="W9" s="311" t="str">
        <f t="shared" si="11"/>
        <v/>
      </c>
      <c r="X9" s="415" t="str">
        <f t="shared" si="12"/>
        <v/>
      </c>
      <c r="Y9" s="159" t="str">
        <f t="shared" si="13"/>
        <v/>
      </c>
      <c r="Z9" s="148"/>
      <c r="AA9" s="160">
        <f t="shared" si="16"/>
        <v>13</v>
      </c>
      <c r="AB9" s="155">
        <f t="shared" si="17"/>
        <v>17.333333333333332</v>
      </c>
      <c r="AC9" s="155">
        <f t="shared" si="18"/>
        <v>21.666666666666668</v>
      </c>
      <c r="AD9" s="155">
        <f t="shared" si="19"/>
        <v>26</v>
      </c>
      <c r="AE9" s="384">
        <f t="shared" si="20"/>
        <v>34.666666666666664</v>
      </c>
    </row>
    <row r="10" spans="1:31" ht="14" x14ac:dyDescent="0.2">
      <c r="A10" s="67"/>
      <c r="B10" s="92">
        <v>4</v>
      </c>
      <c r="C10" s="93"/>
      <c r="D10" s="94" t="str">
        <f t="shared" si="0"/>
        <v/>
      </c>
      <c r="E10" s="169" t="str">
        <f t="shared" si="1"/>
        <v/>
      </c>
      <c r="F10" s="95">
        <v>4</v>
      </c>
      <c r="G10" s="96"/>
      <c r="H10" s="93" t="str">
        <f t="shared" si="2"/>
        <v/>
      </c>
      <c r="I10" s="97" t="str">
        <f t="shared" si="14"/>
        <v/>
      </c>
      <c r="J10" s="95"/>
      <c r="K10" s="98" t="str">
        <f t="shared" si="3"/>
        <v/>
      </c>
      <c r="L10" s="96" t="str">
        <f t="shared" si="4"/>
        <v/>
      </c>
      <c r="M10" s="99" t="str">
        <f t="shared" si="5"/>
        <v/>
      </c>
      <c r="N10" s="100" t="str">
        <f t="shared" si="6"/>
        <v/>
      </c>
      <c r="O10" s="339">
        <f t="shared" si="15"/>
        <v>24</v>
      </c>
      <c r="P10" s="101"/>
      <c r="Q10" s="102"/>
      <c r="R10" s="140"/>
      <c r="S10" s="156" t="str">
        <f t="shared" si="7"/>
        <v/>
      </c>
      <c r="T10" s="157" t="str">
        <f t="shared" si="8"/>
        <v/>
      </c>
      <c r="U10" s="158" t="str">
        <f t="shared" si="9"/>
        <v/>
      </c>
      <c r="V10" s="310" t="str">
        <f t="shared" si="10"/>
        <v/>
      </c>
      <c r="W10" s="311" t="str">
        <f t="shared" si="11"/>
        <v/>
      </c>
      <c r="X10" s="415" t="str">
        <f t="shared" si="12"/>
        <v/>
      </c>
      <c r="Y10" s="159" t="str">
        <f t="shared" si="13"/>
        <v/>
      </c>
      <c r="Z10" s="148"/>
      <c r="AA10" s="160">
        <f t="shared" si="16"/>
        <v>12</v>
      </c>
      <c r="AB10" s="155">
        <f t="shared" si="17"/>
        <v>16</v>
      </c>
      <c r="AC10" s="155">
        <f t="shared" si="18"/>
        <v>20</v>
      </c>
      <c r="AD10" s="155">
        <f t="shared" si="19"/>
        <v>24</v>
      </c>
      <c r="AE10" s="384">
        <f t="shared" si="20"/>
        <v>32</v>
      </c>
    </row>
    <row r="11" spans="1:31" ht="14" x14ac:dyDescent="0.2">
      <c r="A11" s="67"/>
      <c r="B11" s="103">
        <v>5</v>
      </c>
      <c r="C11" s="104"/>
      <c r="D11" s="105" t="str">
        <f t="shared" si="0"/>
        <v/>
      </c>
      <c r="E11" s="170" t="str">
        <f t="shared" si="1"/>
        <v/>
      </c>
      <c r="F11" s="106">
        <v>5</v>
      </c>
      <c r="G11" s="107"/>
      <c r="H11" s="108" t="str">
        <f t="shared" si="2"/>
        <v/>
      </c>
      <c r="I11" s="109" t="str">
        <f t="shared" si="14"/>
        <v/>
      </c>
      <c r="J11" s="110"/>
      <c r="K11" s="111" t="str">
        <f t="shared" si="3"/>
        <v/>
      </c>
      <c r="L11" s="112" t="str">
        <f t="shared" si="4"/>
        <v/>
      </c>
      <c r="M11" s="113" t="str">
        <f t="shared" si="5"/>
        <v/>
      </c>
      <c r="N11" s="114" t="str">
        <f t="shared" si="6"/>
        <v/>
      </c>
      <c r="O11" s="357">
        <f t="shared" si="15"/>
        <v>22</v>
      </c>
      <c r="P11" s="266"/>
      <c r="Q11" s="116"/>
      <c r="R11" s="140"/>
      <c r="S11" s="156" t="str">
        <f t="shared" si="7"/>
        <v/>
      </c>
      <c r="T11" s="157" t="str">
        <f t="shared" si="8"/>
        <v/>
      </c>
      <c r="U11" s="158" t="str">
        <f t="shared" si="9"/>
        <v/>
      </c>
      <c r="V11" s="310" t="str">
        <f t="shared" si="10"/>
        <v/>
      </c>
      <c r="W11" s="311" t="str">
        <f t="shared" si="11"/>
        <v/>
      </c>
      <c r="X11" s="415" t="str">
        <f t="shared" si="12"/>
        <v/>
      </c>
      <c r="Y11" s="159" t="str">
        <f t="shared" si="13"/>
        <v/>
      </c>
      <c r="Z11" s="148"/>
      <c r="AA11" s="160">
        <f t="shared" si="16"/>
        <v>11</v>
      </c>
      <c r="AB11" s="155">
        <f t="shared" si="17"/>
        <v>14.666666666666666</v>
      </c>
      <c r="AC11" s="155">
        <f t="shared" si="18"/>
        <v>18.333333333333332</v>
      </c>
      <c r="AD11" s="155">
        <f t="shared" si="19"/>
        <v>22</v>
      </c>
      <c r="AE11" s="384">
        <f t="shared" si="20"/>
        <v>29.333333333333332</v>
      </c>
    </row>
    <row r="12" spans="1:31" ht="14" x14ac:dyDescent="0.2">
      <c r="A12" s="67"/>
      <c r="B12" s="82">
        <v>6</v>
      </c>
      <c r="C12" s="83"/>
      <c r="D12" s="134" t="str">
        <f t="shared" si="0"/>
        <v/>
      </c>
      <c r="E12" s="168" t="str">
        <f t="shared" ref="E12:E21" si="21">IF($I$6="Ⅰ",S12,IF($I$6="Ⅱ",T12,IF($I$6="Ⅲ",U12,"")))</f>
        <v/>
      </c>
      <c r="F12" s="85">
        <v>6</v>
      </c>
      <c r="G12" s="86"/>
      <c r="H12" s="83" t="str">
        <f t="shared" ref="H12:H26" si="22">IFERROR(IF(G12-$Q$2&lt;=0,"",(G12-$Q$2)*86400),"")</f>
        <v/>
      </c>
      <c r="I12" s="87" t="str">
        <f t="shared" si="14"/>
        <v/>
      </c>
      <c r="J12" s="85"/>
      <c r="K12" s="88" t="str">
        <f t="shared" ref="K12:K26" si="23">IFERROR(H12*(1+0.01*J12)-I12*$N$3,"")</f>
        <v/>
      </c>
      <c r="L12" s="86" t="str">
        <f t="shared" ref="L12:L26" si="24">IFERROR((K12-$K$7)/86400,"")</f>
        <v/>
      </c>
      <c r="M12" s="89" t="str">
        <f t="shared" ref="M12:M26" si="25">IFERROR((K12-$K$7)/$N$3,"")</f>
        <v/>
      </c>
      <c r="N12" s="90" t="str">
        <f t="shared" ref="N12:N26" si="26">IFERROR($N$3/(H12/3600),"")</f>
        <v/>
      </c>
      <c r="O12" s="389">
        <f t="shared" si="15"/>
        <v>20</v>
      </c>
      <c r="P12" s="267"/>
      <c r="Q12" s="91"/>
      <c r="R12" s="140"/>
      <c r="S12" s="156" t="str">
        <f t="shared" si="7"/>
        <v/>
      </c>
      <c r="T12" s="157" t="str">
        <f t="shared" si="8"/>
        <v/>
      </c>
      <c r="U12" s="158" t="str">
        <f t="shared" si="9"/>
        <v/>
      </c>
      <c r="V12" s="310" t="str">
        <f t="shared" si="10"/>
        <v/>
      </c>
      <c r="W12" s="311" t="str">
        <f t="shared" si="11"/>
        <v/>
      </c>
      <c r="X12" s="415" t="str">
        <f t="shared" si="12"/>
        <v/>
      </c>
      <c r="Y12" s="159" t="str">
        <f t="shared" si="13"/>
        <v/>
      </c>
      <c r="Z12" s="148"/>
      <c r="AA12" s="160">
        <f t="shared" si="16"/>
        <v>10</v>
      </c>
      <c r="AB12" s="155">
        <f t="shared" si="17"/>
        <v>13.333333333333334</v>
      </c>
      <c r="AC12" s="155">
        <f t="shared" si="18"/>
        <v>16.666666666666668</v>
      </c>
      <c r="AD12" s="155">
        <f t="shared" si="19"/>
        <v>20</v>
      </c>
      <c r="AE12" s="384">
        <f t="shared" si="20"/>
        <v>26.666666666666668</v>
      </c>
    </row>
    <row r="13" spans="1:31" ht="14" x14ac:dyDescent="0.2">
      <c r="A13" s="67"/>
      <c r="B13" s="92">
        <v>7</v>
      </c>
      <c r="C13" s="93"/>
      <c r="D13" s="94" t="str">
        <f t="shared" si="0"/>
        <v/>
      </c>
      <c r="E13" s="169" t="str">
        <f t="shared" si="21"/>
        <v/>
      </c>
      <c r="F13" s="95">
        <v>7</v>
      </c>
      <c r="G13" s="96"/>
      <c r="H13" s="93" t="str">
        <f t="shared" si="22"/>
        <v/>
      </c>
      <c r="I13" s="97" t="str">
        <f t="shared" si="14"/>
        <v/>
      </c>
      <c r="J13" s="95"/>
      <c r="K13" s="98" t="str">
        <f t="shared" si="23"/>
        <v/>
      </c>
      <c r="L13" s="96" t="str">
        <f t="shared" si="24"/>
        <v/>
      </c>
      <c r="M13" s="99" t="str">
        <f t="shared" si="25"/>
        <v/>
      </c>
      <c r="N13" s="100" t="str">
        <f t="shared" si="26"/>
        <v/>
      </c>
      <c r="O13" s="339">
        <f t="shared" si="15"/>
        <v>18</v>
      </c>
      <c r="P13" s="101"/>
      <c r="Q13" s="102"/>
      <c r="R13" s="140"/>
      <c r="S13" s="156" t="str">
        <f t="shared" si="7"/>
        <v/>
      </c>
      <c r="T13" s="157" t="str">
        <f t="shared" si="8"/>
        <v/>
      </c>
      <c r="U13" s="158" t="str">
        <f t="shared" si="9"/>
        <v/>
      </c>
      <c r="V13" s="310" t="str">
        <f t="shared" si="10"/>
        <v/>
      </c>
      <c r="W13" s="311" t="str">
        <f t="shared" si="11"/>
        <v/>
      </c>
      <c r="X13" s="415" t="str">
        <f t="shared" si="12"/>
        <v/>
      </c>
      <c r="Y13" s="159" t="str">
        <f t="shared" si="13"/>
        <v/>
      </c>
      <c r="Z13" s="148"/>
      <c r="AA13" s="160">
        <f t="shared" si="16"/>
        <v>9</v>
      </c>
      <c r="AB13" s="155">
        <f t="shared" si="17"/>
        <v>12</v>
      </c>
      <c r="AC13" s="155">
        <f t="shared" si="18"/>
        <v>15</v>
      </c>
      <c r="AD13" s="155">
        <f t="shared" si="19"/>
        <v>18</v>
      </c>
      <c r="AE13" s="384">
        <f t="shared" si="20"/>
        <v>24</v>
      </c>
    </row>
    <row r="14" spans="1:31" ht="14" x14ac:dyDescent="0.2">
      <c r="A14" s="67"/>
      <c r="B14" s="92">
        <v>8</v>
      </c>
      <c r="C14" s="93"/>
      <c r="D14" s="94" t="str">
        <f t="shared" si="0"/>
        <v/>
      </c>
      <c r="E14" s="169" t="str">
        <f t="shared" si="21"/>
        <v/>
      </c>
      <c r="F14" s="95">
        <v>8</v>
      </c>
      <c r="G14" s="96"/>
      <c r="H14" s="93" t="str">
        <f t="shared" si="22"/>
        <v/>
      </c>
      <c r="I14" s="97" t="str">
        <f t="shared" si="14"/>
        <v/>
      </c>
      <c r="J14" s="95"/>
      <c r="K14" s="98" t="str">
        <f t="shared" si="23"/>
        <v/>
      </c>
      <c r="L14" s="96" t="str">
        <f t="shared" si="24"/>
        <v/>
      </c>
      <c r="M14" s="99" t="str">
        <f t="shared" si="25"/>
        <v/>
      </c>
      <c r="N14" s="100" t="str">
        <f t="shared" si="26"/>
        <v/>
      </c>
      <c r="O14" s="339">
        <f t="shared" si="15"/>
        <v>16</v>
      </c>
      <c r="P14" s="131"/>
      <c r="Q14" s="102"/>
      <c r="R14" s="140"/>
      <c r="S14" s="156" t="str">
        <f t="shared" si="7"/>
        <v/>
      </c>
      <c r="T14" s="157" t="str">
        <f t="shared" si="8"/>
        <v/>
      </c>
      <c r="U14" s="158" t="str">
        <f t="shared" si="9"/>
        <v/>
      </c>
      <c r="V14" s="310" t="str">
        <f t="shared" si="10"/>
        <v/>
      </c>
      <c r="W14" s="311" t="str">
        <f t="shared" si="11"/>
        <v/>
      </c>
      <c r="X14" s="415" t="str">
        <f t="shared" si="12"/>
        <v/>
      </c>
      <c r="Y14" s="159" t="str">
        <f t="shared" si="13"/>
        <v/>
      </c>
      <c r="Z14" s="148"/>
      <c r="AA14" s="160">
        <f t="shared" si="16"/>
        <v>8</v>
      </c>
      <c r="AB14" s="155">
        <f t="shared" si="17"/>
        <v>10.666666666666666</v>
      </c>
      <c r="AC14" s="155">
        <f t="shared" si="18"/>
        <v>13.333333333333334</v>
      </c>
      <c r="AD14" s="155">
        <f t="shared" si="19"/>
        <v>16</v>
      </c>
      <c r="AE14" s="384">
        <f t="shared" si="20"/>
        <v>21.333333333333332</v>
      </c>
    </row>
    <row r="15" spans="1:31" ht="14" x14ac:dyDescent="0.2">
      <c r="A15" s="67"/>
      <c r="B15" s="92">
        <v>9</v>
      </c>
      <c r="C15" s="93"/>
      <c r="D15" s="94" t="str">
        <f t="shared" si="0"/>
        <v/>
      </c>
      <c r="E15" s="169" t="str">
        <f t="shared" si="21"/>
        <v/>
      </c>
      <c r="F15" s="95">
        <v>9</v>
      </c>
      <c r="G15" s="96"/>
      <c r="H15" s="93" t="str">
        <f t="shared" si="22"/>
        <v/>
      </c>
      <c r="I15" s="97" t="str">
        <f t="shared" si="14"/>
        <v/>
      </c>
      <c r="J15" s="95"/>
      <c r="K15" s="98" t="str">
        <f t="shared" si="23"/>
        <v/>
      </c>
      <c r="L15" s="96" t="str">
        <f t="shared" si="24"/>
        <v/>
      </c>
      <c r="M15" s="99" t="str">
        <f t="shared" si="25"/>
        <v/>
      </c>
      <c r="N15" s="100" t="str">
        <f t="shared" si="26"/>
        <v/>
      </c>
      <c r="O15" s="339">
        <f t="shared" si="15"/>
        <v>14</v>
      </c>
      <c r="P15" s="268"/>
      <c r="Q15" s="102"/>
      <c r="R15" s="140"/>
      <c r="S15" s="156" t="str">
        <f t="shared" si="7"/>
        <v/>
      </c>
      <c r="T15" s="157" t="str">
        <f t="shared" si="8"/>
        <v/>
      </c>
      <c r="U15" s="158" t="str">
        <f t="shared" si="9"/>
        <v/>
      </c>
      <c r="V15" s="310" t="str">
        <f t="shared" si="10"/>
        <v/>
      </c>
      <c r="W15" s="311" t="str">
        <f t="shared" si="11"/>
        <v/>
      </c>
      <c r="X15" s="415" t="str">
        <f t="shared" si="12"/>
        <v/>
      </c>
      <c r="Y15" s="159" t="str">
        <f t="shared" si="13"/>
        <v/>
      </c>
      <c r="Z15" s="148"/>
      <c r="AA15" s="160">
        <f t="shared" si="16"/>
        <v>7</v>
      </c>
      <c r="AB15" s="155">
        <f t="shared" si="17"/>
        <v>9.3333333333333339</v>
      </c>
      <c r="AC15" s="155">
        <f t="shared" si="18"/>
        <v>11.666666666666666</v>
      </c>
      <c r="AD15" s="155">
        <f t="shared" si="19"/>
        <v>14</v>
      </c>
      <c r="AE15" s="384">
        <f t="shared" si="20"/>
        <v>18.666666666666668</v>
      </c>
    </row>
    <row r="16" spans="1:31" ht="14" x14ac:dyDescent="0.2">
      <c r="A16" s="67"/>
      <c r="B16" s="103">
        <v>10</v>
      </c>
      <c r="C16" s="104"/>
      <c r="D16" s="105" t="str">
        <f t="shared" si="0"/>
        <v/>
      </c>
      <c r="E16" s="170" t="str">
        <f t="shared" si="21"/>
        <v/>
      </c>
      <c r="F16" s="106">
        <v>10</v>
      </c>
      <c r="G16" s="107"/>
      <c r="H16" s="108" t="str">
        <f t="shared" si="22"/>
        <v/>
      </c>
      <c r="I16" s="109" t="str">
        <f t="shared" si="14"/>
        <v/>
      </c>
      <c r="J16" s="110"/>
      <c r="K16" s="111" t="str">
        <f t="shared" si="23"/>
        <v/>
      </c>
      <c r="L16" s="112" t="str">
        <f t="shared" si="24"/>
        <v/>
      </c>
      <c r="M16" s="113" t="str">
        <f t="shared" si="25"/>
        <v/>
      </c>
      <c r="N16" s="114" t="str">
        <f t="shared" si="26"/>
        <v/>
      </c>
      <c r="O16" s="357">
        <f t="shared" si="15"/>
        <v>12</v>
      </c>
      <c r="P16" s="166"/>
      <c r="Q16" s="116"/>
      <c r="R16" s="140"/>
      <c r="S16" s="156" t="str">
        <f t="shared" si="7"/>
        <v/>
      </c>
      <c r="T16" s="157" t="str">
        <f t="shared" si="8"/>
        <v/>
      </c>
      <c r="U16" s="158" t="str">
        <f t="shared" si="9"/>
        <v/>
      </c>
      <c r="V16" s="310" t="str">
        <f t="shared" si="10"/>
        <v/>
      </c>
      <c r="W16" s="311" t="str">
        <f t="shared" si="11"/>
        <v/>
      </c>
      <c r="X16" s="415" t="str">
        <f t="shared" si="12"/>
        <v/>
      </c>
      <c r="Y16" s="159" t="str">
        <f t="shared" si="13"/>
        <v/>
      </c>
      <c r="Z16" s="148"/>
      <c r="AA16" s="160">
        <f t="shared" si="16"/>
        <v>6</v>
      </c>
      <c r="AB16" s="155">
        <f t="shared" si="17"/>
        <v>8</v>
      </c>
      <c r="AC16" s="155">
        <f t="shared" si="18"/>
        <v>10</v>
      </c>
      <c r="AD16" s="155">
        <f t="shared" si="19"/>
        <v>12</v>
      </c>
      <c r="AE16" s="384">
        <f t="shared" si="20"/>
        <v>16</v>
      </c>
    </row>
    <row r="17" spans="1:31" ht="14" x14ac:dyDescent="0.2">
      <c r="A17" s="67"/>
      <c r="B17" s="82">
        <v>11</v>
      </c>
      <c r="C17" s="83"/>
      <c r="D17" s="134" t="str">
        <f t="shared" si="0"/>
        <v/>
      </c>
      <c r="E17" s="168" t="str">
        <f t="shared" si="21"/>
        <v/>
      </c>
      <c r="F17" s="85">
        <v>11</v>
      </c>
      <c r="G17" s="86"/>
      <c r="H17" s="83" t="str">
        <f t="shared" si="22"/>
        <v/>
      </c>
      <c r="I17" s="87" t="str">
        <f t="shared" si="14"/>
        <v/>
      </c>
      <c r="J17" s="85"/>
      <c r="K17" s="88" t="str">
        <f t="shared" si="23"/>
        <v/>
      </c>
      <c r="L17" s="86" t="str">
        <f t="shared" si="24"/>
        <v/>
      </c>
      <c r="M17" s="89" t="str">
        <f t="shared" si="25"/>
        <v/>
      </c>
      <c r="N17" s="90" t="str">
        <f t="shared" si="26"/>
        <v/>
      </c>
      <c r="O17" s="389">
        <f t="shared" si="15"/>
        <v>10</v>
      </c>
      <c r="P17" s="167"/>
      <c r="Q17" s="91"/>
      <c r="R17" s="140"/>
      <c r="S17" s="156" t="str">
        <f t="shared" si="7"/>
        <v/>
      </c>
      <c r="T17" s="157" t="str">
        <f t="shared" si="8"/>
        <v/>
      </c>
      <c r="U17" s="158" t="str">
        <f t="shared" si="9"/>
        <v/>
      </c>
      <c r="V17" s="310" t="str">
        <f t="shared" si="10"/>
        <v/>
      </c>
      <c r="W17" s="311" t="str">
        <f t="shared" si="11"/>
        <v/>
      </c>
      <c r="X17" s="415" t="str">
        <f t="shared" si="12"/>
        <v/>
      </c>
      <c r="Y17" s="159" t="str">
        <f t="shared" si="13"/>
        <v/>
      </c>
      <c r="Z17" s="148"/>
      <c r="AA17" s="160">
        <f t="shared" si="16"/>
        <v>5</v>
      </c>
      <c r="AB17" s="155">
        <f t="shared" si="17"/>
        <v>6.666666666666667</v>
      </c>
      <c r="AC17" s="155">
        <f t="shared" si="18"/>
        <v>8.3333333333333339</v>
      </c>
      <c r="AD17" s="155">
        <f t="shared" si="19"/>
        <v>10</v>
      </c>
      <c r="AE17" s="384">
        <f t="shared" si="20"/>
        <v>13.333333333333334</v>
      </c>
    </row>
    <row r="18" spans="1:31" ht="14" x14ac:dyDescent="0.2">
      <c r="A18" s="67"/>
      <c r="B18" s="92">
        <v>12</v>
      </c>
      <c r="C18" s="93"/>
      <c r="D18" s="94" t="str">
        <f t="shared" si="0"/>
        <v/>
      </c>
      <c r="E18" s="169" t="str">
        <f t="shared" si="21"/>
        <v/>
      </c>
      <c r="F18" s="95">
        <v>12</v>
      </c>
      <c r="G18" s="96"/>
      <c r="H18" s="93" t="str">
        <f t="shared" si="22"/>
        <v/>
      </c>
      <c r="I18" s="97" t="str">
        <f t="shared" si="14"/>
        <v/>
      </c>
      <c r="J18" s="95"/>
      <c r="K18" s="98" t="str">
        <f t="shared" si="23"/>
        <v/>
      </c>
      <c r="L18" s="96" t="str">
        <f t="shared" si="24"/>
        <v/>
      </c>
      <c r="M18" s="99" t="str">
        <f t="shared" si="25"/>
        <v/>
      </c>
      <c r="N18" s="100" t="str">
        <f t="shared" si="26"/>
        <v/>
      </c>
      <c r="O18" s="339">
        <f t="shared" si="15"/>
        <v>8</v>
      </c>
      <c r="P18" s="131"/>
      <c r="Q18" s="102"/>
      <c r="R18" s="140"/>
      <c r="S18" s="156" t="str">
        <f t="shared" si="7"/>
        <v/>
      </c>
      <c r="T18" s="157" t="str">
        <f t="shared" si="8"/>
        <v/>
      </c>
      <c r="U18" s="158" t="str">
        <f t="shared" si="9"/>
        <v/>
      </c>
      <c r="V18" s="310" t="str">
        <f t="shared" si="10"/>
        <v/>
      </c>
      <c r="W18" s="311" t="str">
        <f t="shared" si="11"/>
        <v/>
      </c>
      <c r="X18" s="415" t="str">
        <f t="shared" si="12"/>
        <v/>
      </c>
      <c r="Y18" s="159" t="str">
        <f t="shared" si="13"/>
        <v/>
      </c>
      <c r="Z18" s="148"/>
      <c r="AA18" s="160">
        <f t="shared" si="16"/>
        <v>4</v>
      </c>
      <c r="AB18" s="155">
        <f t="shared" si="17"/>
        <v>5.333333333333333</v>
      </c>
      <c r="AC18" s="155">
        <f t="shared" si="18"/>
        <v>6.666666666666667</v>
      </c>
      <c r="AD18" s="155">
        <f t="shared" si="19"/>
        <v>8</v>
      </c>
      <c r="AE18" s="384">
        <f t="shared" si="20"/>
        <v>10.666666666666666</v>
      </c>
    </row>
    <row r="19" spans="1:31" ht="14" x14ac:dyDescent="0.2">
      <c r="A19" s="67"/>
      <c r="B19" s="92">
        <v>13</v>
      </c>
      <c r="C19" s="93"/>
      <c r="D19" s="94" t="str">
        <f t="shared" si="0"/>
        <v/>
      </c>
      <c r="E19" s="169" t="str">
        <f t="shared" si="21"/>
        <v/>
      </c>
      <c r="F19" s="95">
        <v>13</v>
      </c>
      <c r="G19" s="96"/>
      <c r="H19" s="93" t="str">
        <f t="shared" si="22"/>
        <v/>
      </c>
      <c r="I19" s="97" t="str">
        <f t="shared" si="14"/>
        <v/>
      </c>
      <c r="J19" s="95"/>
      <c r="K19" s="98" t="str">
        <f t="shared" si="23"/>
        <v/>
      </c>
      <c r="L19" s="96" t="str">
        <f t="shared" si="24"/>
        <v/>
      </c>
      <c r="M19" s="99" t="str">
        <f t="shared" si="25"/>
        <v/>
      </c>
      <c r="N19" s="100" t="str">
        <f t="shared" si="26"/>
        <v/>
      </c>
      <c r="O19" s="339">
        <f t="shared" si="15"/>
        <v>6</v>
      </c>
      <c r="P19" s="131"/>
      <c r="Q19" s="102"/>
      <c r="R19" s="140"/>
      <c r="S19" s="156" t="str">
        <f t="shared" si="7"/>
        <v/>
      </c>
      <c r="T19" s="157" t="str">
        <f t="shared" si="8"/>
        <v/>
      </c>
      <c r="U19" s="158" t="str">
        <f t="shared" si="9"/>
        <v/>
      </c>
      <c r="V19" s="310" t="str">
        <f t="shared" si="10"/>
        <v/>
      </c>
      <c r="W19" s="311" t="str">
        <f t="shared" si="11"/>
        <v/>
      </c>
      <c r="X19" s="415" t="str">
        <f t="shared" si="12"/>
        <v/>
      </c>
      <c r="Y19" s="159" t="str">
        <f t="shared" si="13"/>
        <v/>
      </c>
      <c r="Z19" s="148"/>
      <c r="AA19" s="160">
        <f t="shared" si="16"/>
        <v>3</v>
      </c>
      <c r="AB19" s="155">
        <f t="shared" si="17"/>
        <v>4</v>
      </c>
      <c r="AC19" s="155">
        <f t="shared" si="18"/>
        <v>5</v>
      </c>
      <c r="AD19" s="155">
        <f t="shared" si="19"/>
        <v>6</v>
      </c>
      <c r="AE19" s="384">
        <f t="shared" si="20"/>
        <v>8</v>
      </c>
    </row>
    <row r="20" spans="1:31" ht="14" x14ac:dyDescent="0.2">
      <c r="A20" s="67"/>
      <c r="B20" s="92">
        <v>14</v>
      </c>
      <c r="C20" s="93"/>
      <c r="D20" s="94" t="str">
        <f t="shared" si="0"/>
        <v/>
      </c>
      <c r="E20" s="169" t="str">
        <f t="shared" si="21"/>
        <v/>
      </c>
      <c r="F20" s="95">
        <v>14</v>
      </c>
      <c r="G20" s="96"/>
      <c r="H20" s="93" t="str">
        <f t="shared" si="22"/>
        <v/>
      </c>
      <c r="I20" s="97" t="str">
        <f t="shared" si="14"/>
        <v/>
      </c>
      <c r="J20" s="95"/>
      <c r="K20" s="98" t="str">
        <f t="shared" si="23"/>
        <v/>
      </c>
      <c r="L20" s="96" t="str">
        <f t="shared" si="24"/>
        <v/>
      </c>
      <c r="M20" s="99" t="str">
        <f t="shared" si="25"/>
        <v/>
      </c>
      <c r="N20" s="100" t="str">
        <f t="shared" si="26"/>
        <v/>
      </c>
      <c r="O20" s="339">
        <f t="shared" si="15"/>
        <v>4</v>
      </c>
      <c r="P20" s="269"/>
      <c r="Q20" s="102"/>
      <c r="R20" s="140"/>
      <c r="S20" s="156" t="str">
        <f t="shared" si="7"/>
        <v/>
      </c>
      <c r="T20" s="157" t="str">
        <f t="shared" si="8"/>
        <v/>
      </c>
      <c r="U20" s="158" t="str">
        <f t="shared" si="9"/>
        <v/>
      </c>
      <c r="V20" s="310" t="str">
        <f t="shared" si="10"/>
        <v/>
      </c>
      <c r="W20" s="311" t="str">
        <f t="shared" si="11"/>
        <v/>
      </c>
      <c r="X20" s="415" t="str">
        <f t="shared" si="12"/>
        <v/>
      </c>
      <c r="Y20" s="159" t="str">
        <f t="shared" si="13"/>
        <v/>
      </c>
      <c r="Z20" s="148"/>
      <c r="AA20" s="160">
        <f t="shared" si="16"/>
        <v>2</v>
      </c>
      <c r="AB20" s="155">
        <f t="shared" si="17"/>
        <v>2.6666666666666665</v>
      </c>
      <c r="AC20" s="155">
        <f t="shared" si="18"/>
        <v>3.3333333333333335</v>
      </c>
      <c r="AD20" s="155">
        <f t="shared" si="19"/>
        <v>4</v>
      </c>
      <c r="AE20" s="384">
        <f t="shared" si="20"/>
        <v>5.333333333333333</v>
      </c>
    </row>
    <row r="21" spans="1:31" ht="14" x14ac:dyDescent="0.2">
      <c r="A21" s="67"/>
      <c r="B21" s="103">
        <v>15</v>
      </c>
      <c r="C21" s="104"/>
      <c r="D21" s="105" t="str">
        <f t="shared" si="0"/>
        <v/>
      </c>
      <c r="E21" s="170" t="str">
        <f t="shared" si="21"/>
        <v/>
      </c>
      <c r="F21" s="106">
        <v>15</v>
      </c>
      <c r="G21" s="107"/>
      <c r="H21" s="108" t="str">
        <f t="shared" si="22"/>
        <v/>
      </c>
      <c r="I21" s="109" t="str">
        <f t="shared" si="14"/>
        <v/>
      </c>
      <c r="J21" s="110"/>
      <c r="K21" s="111" t="str">
        <f t="shared" si="23"/>
        <v/>
      </c>
      <c r="L21" s="112" t="str">
        <f t="shared" si="24"/>
        <v/>
      </c>
      <c r="M21" s="113" t="str">
        <f t="shared" si="25"/>
        <v/>
      </c>
      <c r="N21" s="114" t="str">
        <f t="shared" si="26"/>
        <v/>
      </c>
      <c r="O21" s="357">
        <f t="shared" si="15"/>
        <v>2</v>
      </c>
      <c r="P21" s="166"/>
      <c r="Q21" s="116"/>
      <c r="R21" s="140"/>
      <c r="S21" s="156" t="str">
        <f t="shared" si="7"/>
        <v/>
      </c>
      <c r="T21" s="157" t="str">
        <f t="shared" si="8"/>
        <v/>
      </c>
      <c r="U21" s="158" t="str">
        <f t="shared" si="9"/>
        <v/>
      </c>
      <c r="V21" s="310" t="str">
        <f t="shared" si="10"/>
        <v/>
      </c>
      <c r="W21" s="311" t="str">
        <f t="shared" si="11"/>
        <v/>
      </c>
      <c r="X21" s="415" t="str">
        <f t="shared" si="12"/>
        <v/>
      </c>
      <c r="Y21" s="159" t="str">
        <f t="shared" si="13"/>
        <v/>
      </c>
      <c r="Z21" s="148"/>
      <c r="AA21" s="160">
        <f t="shared" si="16"/>
        <v>1</v>
      </c>
      <c r="AB21" s="155">
        <f t="shared" si="17"/>
        <v>1.3333333333333333</v>
      </c>
      <c r="AC21" s="155">
        <f t="shared" si="18"/>
        <v>1.6666666666666667</v>
      </c>
      <c r="AD21" s="155">
        <f t="shared" si="19"/>
        <v>2</v>
      </c>
      <c r="AE21" s="384">
        <f t="shared" si="20"/>
        <v>2.6666666666666665</v>
      </c>
    </row>
    <row r="22" spans="1:31" ht="14" x14ac:dyDescent="0.2">
      <c r="A22" s="67"/>
      <c r="B22" s="129"/>
      <c r="C22" s="83"/>
      <c r="D22" s="134" t="str">
        <f t="shared" si="0"/>
        <v/>
      </c>
      <c r="E22" s="168"/>
      <c r="F22" s="124"/>
      <c r="G22" s="86"/>
      <c r="H22" s="83" t="str">
        <f t="shared" si="22"/>
        <v/>
      </c>
      <c r="I22" s="87" t="str">
        <f t="shared" si="14"/>
        <v/>
      </c>
      <c r="J22" s="85"/>
      <c r="K22" s="88" t="str">
        <f t="shared" si="23"/>
        <v/>
      </c>
      <c r="L22" s="86" t="str">
        <f t="shared" si="24"/>
        <v/>
      </c>
      <c r="M22" s="89" t="str">
        <f t="shared" si="25"/>
        <v/>
      </c>
      <c r="N22" s="90" t="str">
        <f t="shared" si="26"/>
        <v/>
      </c>
      <c r="O22" s="389" t="e">
        <f t="shared" si="15"/>
        <v>#VALUE!</v>
      </c>
      <c r="P22" s="270"/>
      <c r="Q22" s="130"/>
      <c r="R22" s="140"/>
      <c r="S22" s="156" t="str">
        <f t="shared" si="7"/>
        <v/>
      </c>
      <c r="T22" s="157" t="str">
        <f t="shared" si="8"/>
        <v/>
      </c>
      <c r="U22" s="158" t="str">
        <f t="shared" si="9"/>
        <v/>
      </c>
      <c r="V22" s="310" t="str">
        <f t="shared" si="10"/>
        <v/>
      </c>
      <c r="W22" s="311" t="str">
        <f t="shared" si="11"/>
        <v/>
      </c>
      <c r="X22" s="415" t="str">
        <f t="shared" si="12"/>
        <v/>
      </c>
      <c r="Y22" s="159" t="str">
        <f t="shared" si="13"/>
        <v/>
      </c>
      <c r="Z22" s="148"/>
      <c r="AA22" s="160" t="str">
        <f t="shared" si="16"/>
        <v/>
      </c>
      <c r="AB22" s="155" t="str">
        <f t="shared" si="17"/>
        <v/>
      </c>
      <c r="AC22" s="155" t="str">
        <f t="shared" si="18"/>
        <v/>
      </c>
      <c r="AD22" s="155" t="str">
        <f t="shared" si="19"/>
        <v/>
      </c>
      <c r="AE22" s="384" t="str">
        <f t="shared" si="20"/>
        <v/>
      </c>
    </row>
    <row r="23" spans="1:31" ht="14" x14ac:dyDescent="0.2">
      <c r="A23" s="67"/>
      <c r="B23" s="92"/>
      <c r="C23" s="93"/>
      <c r="D23" s="94" t="str">
        <f t="shared" si="0"/>
        <v/>
      </c>
      <c r="E23" s="169"/>
      <c r="F23" s="95"/>
      <c r="G23" s="96"/>
      <c r="H23" s="93" t="str">
        <f t="shared" si="22"/>
        <v/>
      </c>
      <c r="I23" s="97" t="str">
        <f t="shared" si="14"/>
        <v/>
      </c>
      <c r="J23" s="95"/>
      <c r="K23" s="98" t="str">
        <f t="shared" si="23"/>
        <v/>
      </c>
      <c r="L23" s="96" t="str">
        <f t="shared" si="24"/>
        <v/>
      </c>
      <c r="M23" s="99" t="str">
        <f t="shared" si="25"/>
        <v/>
      </c>
      <c r="N23" s="100" t="str">
        <f t="shared" si="26"/>
        <v/>
      </c>
      <c r="O23" s="339" t="e">
        <f t="shared" si="15"/>
        <v>#VALUE!</v>
      </c>
      <c r="P23" s="131"/>
      <c r="Q23" s="102"/>
      <c r="R23" s="140"/>
      <c r="S23" s="156" t="str">
        <f t="shared" si="7"/>
        <v/>
      </c>
      <c r="T23" s="157" t="str">
        <f t="shared" si="8"/>
        <v/>
      </c>
      <c r="U23" s="158" t="str">
        <f t="shared" si="9"/>
        <v/>
      </c>
      <c r="V23" s="310" t="str">
        <f t="shared" si="10"/>
        <v/>
      </c>
      <c r="W23" s="311" t="str">
        <f t="shared" si="11"/>
        <v/>
      </c>
      <c r="X23" s="415" t="str">
        <f t="shared" si="12"/>
        <v/>
      </c>
      <c r="Y23" s="159" t="str">
        <f t="shared" si="13"/>
        <v/>
      </c>
      <c r="Z23" s="148"/>
      <c r="AA23" s="160" t="str">
        <f t="shared" si="16"/>
        <v/>
      </c>
      <c r="AB23" s="155" t="str">
        <f t="shared" si="17"/>
        <v/>
      </c>
      <c r="AC23" s="155" t="str">
        <f t="shared" si="18"/>
        <v/>
      </c>
      <c r="AD23" s="155" t="str">
        <f t="shared" si="19"/>
        <v/>
      </c>
      <c r="AE23" s="384" t="str">
        <f t="shared" si="20"/>
        <v/>
      </c>
    </row>
    <row r="24" spans="1:31" ht="14" x14ac:dyDescent="0.2">
      <c r="A24" s="67"/>
      <c r="B24" s="129"/>
      <c r="C24" s="93"/>
      <c r="D24" s="94" t="str">
        <f t="shared" si="0"/>
        <v/>
      </c>
      <c r="E24" s="169"/>
      <c r="F24" s="95"/>
      <c r="G24" s="96"/>
      <c r="H24" s="93" t="str">
        <f t="shared" si="22"/>
        <v/>
      </c>
      <c r="I24" s="97" t="str">
        <f t="shared" si="14"/>
        <v/>
      </c>
      <c r="J24" s="95"/>
      <c r="K24" s="98" t="str">
        <f t="shared" si="23"/>
        <v/>
      </c>
      <c r="L24" s="96" t="str">
        <f t="shared" si="24"/>
        <v/>
      </c>
      <c r="M24" s="99" t="str">
        <f t="shared" si="25"/>
        <v/>
      </c>
      <c r="N24" s="100" t="str">
        <f t="shared" si="26"/>
        <v/>
      </c>
      <c r="O24" s="339" t="e">
        <f t="shared" si="15"/>
        <v>#VALUE!</v>
      </c>
      <c r="P24" s="132"/>
      <c r="Q24" s="102"/>
      <c r="R24" s="140"/>
      <c r="S24" s="156" t="str">
        <f t="shared" si="7"/>
        <v/>
      </c>
      <c r="T24" s="157" t="str">
        <f t="shared" si="8"/>
        <v/>
      </c>
      <c r="U24" s="158" t="str">
        <f t="shared" si="9"/>
        <v/>
      </c>
      <c r="V24" s="310" t="str">
        <f t="shared" si="10"/>
        <v/>
      </c>
      <c r="W24" s="311" t="str">
        <f t="shared" si="11"/>
        <v/>
      </c>
      <c r="X24" s="415" t="str">
        <f t="shared" si="12"/>
        <v/>
      </c>
      <c r="Y24" s="159" t="str">
        <f t="shared" si="13"/>
        <v/>
      </c>
      <c r="Z24" s="148"/>
      <c r="AA24" s="160" t="str">
        <f t="shared" si="16"/>
        <v/>
      </c>
      <c r="AB24" s="155" t="str">
        <f t="shared" si="17"/>
        <v/>
      </c>
      <c r="AC24" s="155" t="str">
        <f t="shared" si="18"/>
        <v/>
      </c>
      <c r="AD24" s="155" t="str">
        <f t="shared" si="19"/>
        <v/>
      </c>
      <c r="AE24" s="384" t="str">
        <f t="shared" si="20"/>
        <v/>
      </c>
    </row>
    <row r="25" spans="1:31" ht="14" x14ac:dyDescent="0.2">
      <c r="A25" s="67"/>
      <c r="B25" s="92"/>
      <c r="C25" s="93"/>
      <c r="D25" s="94" t="str">
        <f t="shared" si="0"/>
        <v/>
      </c>
      <c r="E25" s="169"/>
      <c r="F25" s="95"/>
      <c r="G25" s="96"/>
      <c r="H25" s="93" t="str">
        <f t="shared" si="22"/>
        <v/>
      </c>
      <c r="I25" s="97" t="str">
        <f t="shared" si="14"/>
        <v/>
      </c>
      <c r="J25" s="95"/>
      <c r="K25" s="98" t="str">
        <f t="shared" si="23"/>
        <v/>
      </c>
      <c r="L25" s="96" t="str">
        <f t="shared" si="24"/>
        <v/>
      </c>
      <c r="M25" s="99" t="str">
        <f t="shared" si="25"/>
        <v/>
      </c>
      <c r="N25" s="100" t="str">
        <f t="shared" si="26"/>
        <v/>
      </c>
      <c r="O25" s="339" t="e">
        <f t="shared" si="15"/>
        <v>#VALUE!</v>
      </c>
      <c r="P25" s="132"/>
      <c r="Q25" s="102"/>
      <c r="R25" s="140"/>
      <c r="S25" s="156" t="str">
        <f t="shared" si="7"/>
        <v/>
      </c>
      <c r="T25" s="157" t="str">
        <f t="shared" si="8"/>
        <v/>
      </c>
      <c r="U25" s="158" t="str">
        <f t="shared" si="9"/>
        <v/>
      </c>
      <c r="V25" s="310" t="str">
        <f t="shared" si="10"/>
        <v/>
      </c>
      <c r="W25" s="311" t="str">
        <f t="shared" si="11"/>
        <v/>
      </c>
      <c r="X25" s="415" t="str">
        <f t="shared" si="12"/>
        <v/>
      </c>
      <c r="Y25" s="159" t="str">
        <f t="shared" si="13"/>
        <v/>
      </c>
      <c r="Z25" s="148"/>
      <c r="AA25" s="160" t="str">
        <f t="shared" si="16"/>
        <v/>
      </c>
      <c r="AB25" s="155" t="str">
        <f t="shared" si="17"/>
        <v/>
      </c>
      <c r="AC25" s="155" t="str">
        <f t="shared" si="18"/>
        <v/>
      </c>
      <c r="AD25" s="155" t="str">
        <f t="shared" si="19"/>
        <v/>
      </c>
      <c r="AE25" s="384" t="str">
        <f t="shared" si="20"/>
        <v/>
      </c>
    </row>
    <row r="26" spans="1:31" ht="14" x14ac:dyDescent="0.2">
      <c r="A26" s="67"/>
      <c r="B26" s="103"/>
      <c r="C26" s="104"/>
      <c r="D26" s="105" t="str">
        <f t="shared" si="0"/>
        <v/>
      </c>
      <c r="E26" s="170"/>
      <c r="F26" s="106"/>
      <c r="G26" s="107"/>
      <c r="H26" s="108" t="str">
        <f t="shared" si="22"/>
        <v/>
      </c>
      <c r="I26" s="109" t="str">
        <f t="shared" si="14"/>
        <v/>
      </c>
      <c r="J26" s="110"/>
      <c r="K26" s="111" t="str">
        <f t="shared" si="23"/>
        <v/>
      </c>
      <c r="L26" s="112" t="str">
        <f t="shared" si="24"/>
        <v/>
      </c>
      <c r="M26" s="113" t="str">
        <f t="shared" si="25"/>
        <v/>
      </c>
      <c r="N26" s="114" t="str">
        <f t="shared" si="26"/>
        <v/>
      </c>
      <c r="O26" s="357" t="e">
        <f t="shared" si="15"/>
        <v>#VALUE!</v>
      </c>
      <c r="P26" s="133"/>
      <c r="Q26" s="116"/>
      <c r="R26" s="140"/>
      <c r="S26" s="156" t="str">
        <f t="shared" si="7"/>
        <v/>
      </c>
      <c r="T26" s="157" t="str">
        <f t="shared" si="8"/>
        <v/>
      </c>
      <c r="U26" s="158" t="str">
        <f t="shared" si="9"/>
        <v/>
      </c>
      <c r="V26" s="310" t="str">
        <f t="shared" si="10"/>
        <v/>
      </c>
      <c r="W26" s="311" t="str">
        <f t="shared" si="11"/>
        <v/>
      </c>
      <c r="X26" s="415" t="str">
        <f t="shared" si="12"/>
        <v/>
      </c>
      <c r="Y26" s="159" t="str">
        <f t="shared" si="13"/>
        <v/>
      </c>
      <c r="Z26" s="148"/>
      <c r="AA26" s="160" t="str">
        <f t="shared" si="16"/>
        <v/>
      </c>
      <c r="AB26" s="155" t="str">
        <f t="shared" si="17"/>
        <v/>
      </c>
      <c r="AC26" s="155" t="str">
        <f t="shared" si="18"/>
        <v/>
      </c>
      <c r="AD26" s="155" t="str">
        <f t="shared" si="19"/>
        <v/>
      </c>
      <c r="AE26" s="384" t="str">
        <f t="shared" si="20"/>
        <v/>
      </c>
    </row>
    <row r="27" spans="1:31" ht="14" x14ac:dyDescent="0.2">
      <c r="A27" s="67"/>
      <c r="B27" s="129"/>
      <c r="C27" s="122"/>
      <c r="D27" s="134" t="str">
        <f t="shared" si="0"/>
        <v/>
      </c>
      <c r="E27" s="124"/>
      <c r="F27" s="124"/>
      <c r="G27" s="126"/>
      <c r="H27" s="83" t="str">
        <f>IFERROR(IF(G27-$Q$2&lt;=0,"",(G27-$Q$2)*86400),"")</f>
        <v/>
      </c>
      <c r="I27" s="87" t="str">
        <f t="shared" si="14"/>
        <v/>
      </c>
      <c r="J27" s="85"/>
      <c r="K27" s="88" t="str">
        <f>IFERROR(H27*(1+0.01*J27)-I27*$N$3,"")</f>
        <v/>
      </c>
      <c r="L27" s="86" t="str">
        <f>IFERROR((K27-$K$7)/86400,"")</f>
        <v/>
      </c>
      <c r="M27" s="89" t="str">
        <f>IFERROR((K27-$K$7)/$N$3,"")</f>
        <v/>
      </c>
      <c r="N27" s="90" t="str">
        <f>IFERROR($N$3/(H27/3600),"")</f>
        <v/>
      </c>
      <c r="O27" s="155" t="e">
        <f t="shared" si="15"/>
        <v>#VALUE!</v>
      </c>
      <c r="P27" s="135"/>
      <c r="Q27" s="130"/>
      <c r="R27" s="140"/>
      <c r="S27" s="156" t="str">
        <f t="shared" si="7"/>
        <v/>
      </c>
      <c r="T27" s="157" t="str">
        <f t="shared" si="8"/>
        <v/>
      </c>
      <c r="U27" s="158" t="str">
        <f t="shared" si="9"/>
        <v/>
      </c>
      <c r="V27" s="310" t="str">
        <f t="shared" si="10"/>
        <v/>
      </c>
      <c r="W27" s="311" t="str">
        <f t="shared" si="11"/>
        <v/>
      </c>
      <c r="X27" s="415" t="str">
        <f t="shared" si="12"/>
        <v/>
      </c>
      <c r="Y27" s="159" t="str">
        <f t="shared" si="13"/>
        <v/>
      </c>
      <c r="Z27" s="148"/>
      <c r="AA27" s="160" t="str">
        <f t="shared" si="16"/>
        <v/>
      </c>
      <c r="AB27" s="155" t="str">
        <f t="shared" si="17"/>
        <v/>
      </c>
      <c r="AC27" s="155" t="str">
        <f t="shared" ref="AC27:AC31" si="27">IF(ISBLANK(A27),"",IFERROR(25*($P$3+1-$B27)/$P$3,"25.0"))</f>
        <v/>
      </c>
      <c r="AD27" s="380" t="str">
        <f t="shared" ref="AD27:AD31" si="28">IF(ISBLANK(B27),"",IFERROR(30*($P$3-$B27)/($P$3-1)+10,"30.0"))</f>
        <v/>
      </c>
      <c r="AE27" s="384" t="str">
        <f t="shared" si="20"/>
        <v/>
      </c>
    </row>
    <row r="28" spans="1:31" ht="14.25" customHeight="1" x14ac:dyDescent="0.2">
      <c r="A28" s="67"/>
      <c r="B28" s="92"/>
      <c r="C28" s="93"/>
      <c r="D28" s="94" t="str">
        <f t="shared" si="0"/>
        <v/>
      </c>
      <c r="E28" s="95"/>
      <c r="F28" s="95"/>
      <c r="G28" s="96"/>
      <c r="H28" s="93"/>
      <c r="I28" s="97" t="str">
        <f t="shared" si="14"/>
        <v/>
      </c>
      <c r="J28" s="95"/>
      <c r="K28" s="98"/>
      <c r="L28" s="96"/>
      <c r="M28" s="99"/>
      <c r="N28" s="100"/>
      <c r="O28" s="155" t="e">
        <f t="shared" si="15"/>
        <v>#VALUE!</v>
      </c>
      <c r="P28" s="136"/>
      <c r="Q28" s="102"/>
      <c r="R28" s="140"/>
      <c r="S28" s="156" t="str">
        <f t="shared" si="7"/>
        <v/>
      </c>
      <c r="T28" s="157" t="str">
        <f t="shared" si="8"/>
        <v/>
      </c>
      <c r="U28" s="158" t="str">
        <f t="shared" si="9"/>
        <v/>
      </c>
      <c r="V28" s="310" t="str">
        <f t="shared" si="10"/>
        <v/>
      </c>
      <c r="W28" s="311" t="str">
        <f t="shared" si="11"/>
        <v/>
      </c>
      <c r="X28" s="415" t="str">
        <f t="shared" si="12"/>
        <v/>
      </c>
      <c r="Y28" s="159" t="str">
        <f t="shared" si="13"/>
        <v/>
      </c>
      <c r="Z28" s="148"/>
      <c r="AA28" s="160" t="str">
        <f t="shared" si="16"/>
        <v/>
      </c>
      <c r="AB28" s="155" t="str">
        <f t="shared" si="17"/>
        <v/>
      </c>
      <c r="AC28" s="155" t="str">
        <f t="shared" si="27"/>
        <v/>
      </c>
      <c r="AD28" s="380" t="str">
        <f t="shared" si="28"/>
        <v/>
      </c>
      <c r="AE28" s="384" t="str">
        <f t="shared" si="20"/>
        <v/>
      </c>
    </row>
    <row r="29" spans="1:31" ht="14" x14ac:dyDescent="0.2">
      <c r="A29" s="67"/>
      <c r="B29" s="92"/>
      <c r="C29" s="93"/>
      <c r="D29" s="94" t="str">
        <f t="shared" si="0"/>
        <v/>
      </c>
      <c r="E29" s="95"/>
      <c r="F29" s="95"/>
      <c r="G29" s="96"/>
      <c r="H29" s="93"/>
      <c r="I29" s="97" t="str">
        <f t="shared" si="14"/>
        <v/>
      </c>
      <c r="J29" s="95"/>
      <c r="K29" s="98"/>
      <c r="L29" s="96"/>
      <c r="M29" s="99"/>
      <c r="N29" s="100"/>
      <c r="O29" s="155" t="e">
        <f t="shared" si="15"/>
        <v>#VALUE!</v>
      </c>
      <c r="P29" s="132"/>
      <c r="Q29" s="102"/>
      <c r="R29" s="140"/>
      <c r="S29" s="156" t="str">
        <f t="shared" si="7"/>
        <v/>
      </c>
      <c r="T29" s="157" t="str">
        <f t="shared" si="8"/>
        <v/>
      </c>
      <c r="U29" s="158" t="str">
        <f t="shared" si="9"/>
        <v/>
      </c>
      <c r="V29" s="310" t="str">
        <f t="shared" si="10"/>
        <v/>
      </c>
      <c r="W29" s="311" t="str">
        <f t="shared" si="11"/>
        <v/>
      </c>
      <c r="X29" s="415" t="str">
        <f t="shared" si="12"/>
        <v/>
      </c>
      <c r="Y29" s="159" t="str">
        <f t="shared" si="13"/>
        <v/>
      </c>
      <c r="Z29" s="148"/>
      <c r="AA29" s="160" t="str">
        <f t="shared" si="16"/>
        <v/>
      </c>
      <c r="AB29" s="155" t="str">
        <f t="shared" si="17"/>
        <v/>
      </c>
      <c r="AC29" s="155" t="str">
        <f t="shared" si="27"/>
        <v/>
      </c>
      <c r="AD29" s="380" t="str">
        <f t="shared" si="28"/>
        <v/>
      </c>
      <c r="AE29" s="384" t="str">
        <f t="shared" si="20"/>
        <v/>
      </c>
    </row>
    <row r="30" spans="1:31" ht="14.25" customHeight="1" x14ac:dyDescent="0.2">
      <c r="A30" s="67"/>
      <c r="B30" s="92"/>
      <c r="C30" s="93"/>
      <c r="D30" s="94" t="str">
        <f t="shared" si="0"/>
        <v/>
      </c>
      <c r="E30" s="95"/>
      <c r="F30" s="95"/>
      <c r="G30" s="96"/>
      <c r="H30" s="93"/>
      <c r="I30" s="97" t="str">
        <f t="shared" si="14"/>
        <v/>
      </c>
      <c r="J30" s="95"/>
      <c r="K30" s="98"/>
      <c r="L30" s="96"/>
      <c r="M30" s="99"/>
      <c r="N30" s="100"/>
      <c r="O30" s="155" t="e">
        <f t="shared" si="15"/>
        <v>#VALUE!</v>
      </c>
      <c r="P30" s="132"/>
      <c r="Q30" s="102"/>
      <c r="R30" s="140"/>
      <c r="S30" s="156" t="str">
        <f t="shared" si="7"/>
        <v/>
      </c>
      <c r="T30" s="157" t="str">
        <f t="shared" si="8"/>
        <v/>
      </c>
      <c r="U30" s="158" t="str">
        <f t="shared" si="9"/>
        <v/>
      </c>
      <c r="V30" s="310" t="str">
        <f t="shared" si="10"/>
        <v/>
      </c>
      <c r="W30" s="311" t="str">
        <f t="shared" si="11"/>
        <v/>
      </c>
      <c r="X30" s="415" t="str">
        <f t="shared" si="12"/>
        <v/>
      </c>
      <c r="Y30" s="159" t="str">
        <f t="shared" si="13"/>
        <v/>
      </c>
      <c r="Z30" s="148"/>
      <c r="AA30" s="160" t="str">
        <f t="shared" si="16"/>
        <v/>
      </c>
      <c r="AB30" s="155" t="str">
        <f t="shared" si="17"/>
        <v/>
      </c>
      <c r="AC30" s="155" t="str">
        <f t="shared" si="27"/>
        <v/>
      </c>
      <c r="AD30" s="380" t="str">
        <f t="shared" si="28"/>
        <v/>
      </c>
      <c r="AE30" s="384" t="str">
        <f t="shared" si="20"/>
        <v/>
      </c>
    </row>
    <row r="31" spans="1:31" ht="14.5" thickBot="1" x14ac:dyDescent="0.25">
      <c r="A31" s="67"/>
      <c r="B31" s="92"/>
      <c r="C31" s="93"/>
      <c r="D31" s="105" t="str">
        <f t="shared" si="0"/>
        <v/>
      </c>
      <c r="E31" s="106"/>
      <c r="F31" s="95"/>
      <c r="G31" s="96"/>
      <c r="H31" s="104" t="str">
        <f>IFERROR(IF(G31-$Q$2&lt;=0,"",(G31-$Q$2)*86400),"")</f>
        <v/>
      </c>
      <c r="I31" s="117" t="str">
        <f t="shared" si="14"/>
        <v/>
      </c>
      <c r="J31" s="106"/>
      <c r="K31" s="119" t="str">
        <f>IFERROR(H31*(1+0.01*J31)-I31*$N$3,"")</f>
        <v/>
      </c>
      <c r="L31" s="107" t="str">
        <f>IFERROR((K31-$K$7)/86400,"")</f>
        <v/>
      </c>
      <c r="M31" s="120" t="str">
        <f>IFERROR((K31-$K$7)/$N$3,"")</f>
        <v/>
      </c>
      <c r="N31" s="121" t="str">
        <f>IFERROR($N$3/(H31/3600),"")</f>
        <v/>
      </c>
      <c r="O31" s="155" t="e">
        <f t="shared" si="15"/>
        <v>#VALUE!</v>
      </c>
      <c r="P31" s="133"/>
      <c r="Q31" s="116"/>
      <c r="R31" s="140"/>
      <c r="S31" s="161" t="str">
        <f t="shared" si="7"/>
        <v/>
      </c>
      <c r="T31" s="162" t="str">
        <f t="shared" si="8"/>
        <v/>
      </c>
      <c r="U31" s="163" t="str">
        <f t="shared" si="9"/>
        <v/>
      </c>
      <c r="V31" s="312" t="str">
        <f t="shared" si="10"/>
        <v/>
      </c>
      <c r="W31" s="313" t="str">
        <f t="shared" si="11"/>
        <v/>
      </c>
      <c r="X31" s="416" t="str">
        <f t="shared" si="12"/>
        <v/>
      </c>
      <c r="Y31" s="314" t="str">
        <f t="shared" si="13"/>
        <v/>
      </c>
      <c r="Z31" s="148"/>
      <c r="AA31" s="385" t="str">
        <f t="shared" ref="AA31" si="29">IF(ISBLANK(A31),"",IFERROR(15*($P$3+1-$B31)/$P$3,"15.0"))</f>
        <v/>
      </c>
      <c r="AB31" s="386" t="str">
        <f t="shared" si="17"/>
        <v/>
      </c>
      <c r="AC31" s="386" t="str">
        <f t="shared" si="27"/>
        <v/>
      </c>
      <c r="AD31" s="381" t="str">
        <f t="shared" si="28"/>
        <v/>
      </c>
      <c r="AE31" s="387" t="str">
        <f t="shared" si="20"/>
        <v/>
      </c>
    </row>
    <row r="32" spans="1:31" ht="15" customHeight="1" x14ac:dyDescent="0.25">
      <c r="A32" s="67"/>
      <c r="B32" s="568" t="s">
        <v>176</v>
      </c>
      <c r="C32" s="569"/>
      <c r="D32" s="570"/>
      <c r="E32" s="137" t="s">
        <v>137</v>
      </c>
      <c r="F32" s="602" t="s">
        <v>193</v>
      </c>
      <c r="G32" s="559"/>
      <c r="H32" s="579" t="s">
        <v>229</v>
      </c>
      <c r="I32" s="580"/>
      <c r="J32" s="580"/>
      <c r="K32" s="580"/>
      <c r="L32" s="580"/>
      <c r="M32" s="580"/>
      <c r="N32" s="580"/>
      <c r="O32" s="580"/>
      <c r="P32" s="580"/>
      <c r="Q32" s="581"/>
      <c r="R32" s="59"/>
      <c r="S32" s="143"/>
      <c r="T32" s="143"/>
      <c r="U32" s="143"/>
      <c r="X32" s="143"/>
      <c r="Y32" s="143"/>
      <c r="Z32" s="143"/>
    </row>
    <row r="33" spans="1:31" ht="15" customHeight="1" x14ac:dyDescent="0.25">
      <c r="A33" s="67"/>
      <c r="B33" s="571"/>
      <c r="C33" s="572"/>
      <c r="D33" s="573"/>
      <c r="E33" s="138" t="s">
        <v>138</v>
      </c>
      <c r="F33" s="560" t="s">
        <v>194</v>
      </c>
      <c r="G33" s="561"/>
      <c r="H33" s="582"/>
      <c r="I33" s="583"/>
      <c r="J33" s="583"/>
      <c r="K33" s="583"/>
      <c r="L33" s="583"/>
      <c r="M33" s="583"/>
      <c r="N33" s="583"/>
      <c r="O33" s="583"/>
      <c r="P33" s="583"/>
      <c r="Q33" s="584"/>
      <c r="R33" s="59"/>
      <c r="S33" s="143"/>
      <c r="T33" s="143"/>
      <c r="U33" s="143"/>
      <c r="X33" s="143"/>
      <c r="Y33" s="143"/>
      <c r="Z33" s="143"/>
      <c r="AA33" s="454" t="s">
        <v>270</v>
      </c>
      <c r="AB33" s="454"/>
      <c r="AC33" s="454"/>
      <c r="AD33" s="454"/>
      <c r="AE33" s="454"/>
    </row>
    <row r="34" spans="1:31" ht="23.25" customHeight="1" x14ac:dyDescent="0.25">
      <c r="A34" s="67"/>
      <c r="B34" s="574"/>
      <c r="C34" s="575"/>
      <c r="D34" s="576"/>
      <c r="E34" s="138" t="s">
        <v>139</v>
      </c>
      <c r="F34" s="560"/>
      <c r="G34" s="561"/>
      <c r="H34" s="582"/>
      <c r="I34" s="583"/>
      <c r="J34" s="583"/>
      <c r="K34" s="583"/>
      <c r="L34" s="583"/>
      <c r="M34" s="583"/>
      <c r="N34" s="583"/>
      <c r="O34" s="583"/>
      <c r="P34" s="583"/>
      <c r="Q34" s="584"/>
      <c r="R34" s="59"/>
      <c r="S34" s="143"/>
      <c r="T34" s="143"/>
      <c r="U34" s="143"/>
      <c r="X34" s="143"/>
      <c r="Y34" s="143"/>
      <c r="Z34" s="143"/>
    </row>
    <row r="35" spans="1:31" ht="22.5" customHeight="1" x14ac:dyDescent="0.25">
      <c r="A35" s="67"/>
      <c r="B35" s="590" t="s">
        <v>177</v>
      </c>
      <c r="C35" s="591"/>
      <c r="D35" s="592"/>
      <c r="E35" s="562" t="s">
        <v>141</v>
      </c>
      <c r="F35" s="560" t="str">
        <f>参照ﾃﾞｰﾀ!AB9</f>
        <v>IDEAL</v>
      </c>
      <c r="G35" s="561"/>
      <c r="H35" s="582"/>
      <c r="I35" s="583"/>
      <c r="J35" s="583"/>
      <c r="K35" s="583"/>
      <c r="L35" s="583"/>
      <c r="M35" s="583"/>
      <c r="N35" s="583"/>
      <c r="O35" s="583"/>
      <c r="P35" s="583"/>
      <c r="Q35" s="584"/>
      <c r="R35" s="59"/>
      <c r="S35" s="143"/>
      <c r="T35" s="143"/>
      <c r="U35" s="143"/>
      <c r="X35" s="143"/>
      <c r="Y35" s="143"/>
      <c r="Z35" s="143"/>
    </row>
    <row r="36" spans="1:31" ht="15" customHeight="1" x14ac:dyDescent="0.25">
      <c r="A36" s="67"/>
      <c r="B36" s="593"/>
      <c r="C36" s="594"/>
      <c r="D36" s="595"/>
      <c r="E36" s="601"/>
      <c r="F36" s="560"/>
      <c r="G36" s="561"/>
      <c r="H36" s="582"/>
      <c r="I36" s="583"/>
      <c r="J36" s="583"/>
      <c r="K36" s="583"/>
      <c r="L36" s="583"/>
      <c r="M36" s="583"/>
      <c r="N36" s="583"/>
      <c r="O36" s="583"/>
      <c r="P36" s="583"/>
      <c r="Q36" s="584"/>
      <c r="R36" s="59"/>
      <c r="S36" s="143"/>
      <c r="T36" s="143"/>
      <c r="U36" s="143"/>
      <c r="X36" s="143"/>
      <c r="Y36" s="143"/>
      <c r="Z36" s="143"/>
    </row>
    <row r="37" spans="1:31" ht="15" customHeight="1" x14ac:dyDescent="0.25">
      <c r="A37" s="67"/>
      <c r="B37" s="593"/>
      <c r="C37" s="594"/>
      <c r="D37" s="595"/>
      <c r="E37" s="137" t="s">
        <v>140</v>
      </c>
      <c r="F37" s="558">
        <f>参照ﾃﾞｰﾀ!J10</f>
        <v>46222</v>
      </c>
      <c r="G37" s="559"/>
      <c r="H37" s="582"/>
      <c r="I37" s="583"/>
      <c r="J37" s="583"/>
      <c r="K37" s="583"/>
      <c r="L37" s="583"/>
      <c r="M37" s="583"/>
      <c r="N37" s="583"/>
      <c r="O37" s="583"/>
      <c r="P37" s="583"/>
      <c r="Q37" s="584"/>
      <c r="R37" s="59"/>
      <c r="S37" s="143"/>
      <c r="T37" s="143"/>
      <c r="U37" s="143"/>
      <c r="X37" s="143"/>
      <c r="Y37" s="143"/>
      <c r="Z37" s="143"/>
    </row>
    <row r="38" spans="1:31" ht="15" customHeight="1" x14ac:dyDescent="0.25">
      <c r="A38" s="67"/>
      <c r="B38" s="593"/>
      <c r="C38" s="594"/>
      <c r="D38" s="595"/>
      <c r="E38" s="138" t="s">
        <v>153</v>
      </c>
      <c r="F38" s="560" t="str">
        <f>参照ﾃﾞｰﾀ!AA10</f>
        <v>F</v>
      </c>
      <c r="G38" s="561"/>
      <c r="H38" s="582"/>
      <c r="I38" s="583"/>
      <c r="J38" s="583"/>
      <c r="K38" s="583"/>
      <c r="L38" s="583"/>
      <c r="M38" s="583"/>
      <c r="N38" s="583"/>
      <c r="O38" s="583"/>
      <c r="P38" s="583"/>
      <c r="Q38" s="584"/>
      <c r="R38" s="59"/>
      <c r="S38" s="143"/>
      <c r="T38" s="143"/>
      <c r="U38" s="143"/>
      <c r="X38" s="143"/>
      <c r="Y38" s="143"/>
      <c r="Z38" s="143"/>
    </row>
    <row r="39" spans="1:31" ht="15" customHeight="1" x14ac:dyDescent="0.25">
      <c r="A39" s="67"/>
      <c r="B39" s="593"/>
      <c r="C39" s="594"/>
      <c r="D39" s="595"/>
      <c r="E39" s="562" t="s">
        <v>141</v>
      </c>
      <c r="F39" s="560" t="str">
        <f>参照ﾃﾞｰﾀ!AB10</f>
        <v>SHARK X</v>
      </c>
      <c r="G39" s="561"/>
      <c r="H39" s="582"/>
      <c r="I39" s="583"/>
      <c r="J39" s="583"/>
      <c r="K39" s="583"/>
      <c r="L39" s="583"/>
      <c r="M39" s="583"/>
      <c r="N39" s="583"/>
      <c r="O39" s="583"/>
      <c r="P39" s="583"/>
      <c r="Q39" s="584"/>
      <c r="R39" s="59"/>
      <c r="S39" s="143"/>
      <c r="T39" s="143"/>
      <c r="U39" s="143"/>
      <c r="X39" s="143"/>
      <c r="Y39" s="143"/>
      <c r="Z39" s="143"/>
    </row>
    <row r="40" spans="1:31" ht="15" customHeight="1" x14ac:dyDescent="0.25">
      <c r="A40" s="67"/>
      <c r="B40" s="593"/>
      <c r="C40" s="594"/>
      <c r="D40" s="595"/>
      <c r="E40" s="562"/>
      <c r="F40" s="560"/>
      <c r="G40" s="561"/>
      <c r="H40" s="582"/>
      <c r="I40" s="583"/>
      <c r="J40" s="583"/>
      <c r="K40" s="583"/>
      <c r="L40" s="583"/>
      <c r="M40" s="583"/>
      <c r="N40" s="583"/>
      <c r="O40" s="583"/>
      <c r="P40" s="583"/>
      <c r="Q40" s="584"/>
      <c r="R40" s="59"/>
      <c r="S40" s="143"/>
      <c r="T40" s="143"/>
      <c r="U40" s="143"/>
      <c r="X40" s="143"/>
      <c r="Y40" s="143"/>
      <c r="Z40" s="143"/>
    </row>
    <row r="41" spans="1:31" ht="11.25" customHeight="1" thickBot="1" x14ac:dyDescent="0.3">
      <c r="A41" s="67"/>
      <c r="B41" s="596"/>
      <c r="C41" s="597"/>
      <c r="D41" s="598"/>
      <c r="E41" s="139"/>
      <c r="F41" s="599"/>
      <c r="G41" s="600"/>
      <c r="H41" s="585"/>
      <c r="I41" s="586"/>
      <c r="J41" s="586"/>
      <c r="K41" s="586"/>
      <c r="L41" s="586"/>
      <c r="M41" s="586"/>
      <c r="N41" s="586"/>
      <c r="O41" s="586"/>
      <c r="P41" s="586"/>
      <c r="Q41" s="587"/>
      <c r="R41" s="59"/>
      <c r="S41" s="143"/>
      <c r="T41" s="143"/>
      <c r="U41" s="143"/>
      <c r="V41" s="143"/>
      <c r="W41" s="143"/>
      <c r="X41" s="143"/>
      <c r="Y41" s="143"/>
      <c r="Z41" s="143"/>
    </row>
    <row r="42" spans="1:31" x14ac:dyDescent="0.2">
      <c r="A42" s="67"/>
      <c r="B42" s="67"/>
      <c r="C42" s="67"/>
      <c r="D42" s="67"/>
      <c r="E42" s="67"/>
      <c r="F42" s="67"/>
      <c r="G42" s="67"/>
      <c r="H42" s="67"/>
      <c r="I42" s="67"/>
      <c r="J42" s="67"/>
      <c r="K42" s="67"/>
      <c r="L42" s="67"/>
      <c r="M42" s="67"/>
      <c r="N42" s="67"/>
      <c r="O42" s="67"/>
      <c r="P42" s="67"/>
      <c r="Q42" s="67"/>
      <c r="R42" s="67"/>
    </row>
  </sheetData>
  <sheetProtection algorithmName="SHA-512" hashValue="HCpg176EDEQ2SUoGY/ohieyAQTGnQRX5NWyn3zcWnoPxiLieShS3PQRQ/3ItcAXY0BOFMTamnNgp5fs6VR4rKg==" saltValue="hWGIuuvT9nucVM1SZTyYhA==" spinCount="100000" sheet="1" objects="1" scenarios="1"/>
  <sortState xmlns:xlrd2="http://schemas.microsoft.com/office/spreadsheetml/2017/richdata2" ref="C7:K23">
    <sortCondition ref="K7:K23"/>
  </sortState>
  <mergeCells count="19">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 ref="F40:G40"/>
    <mergeCell ref="D2:F2"/>
    <mergeCell ref="E3:I3"/>
  </mergeCells>
  <phoneticPr fontId="70"/>
  <dataValidations count="9">
    <dataValidation type="list" allowBlank="1" showInputMessage="1" showErrorMessage="1" sqref="P2 F37:G37" xr:uid="{00000000-0002-0000-0500-000000000000}">
      <formula1>開催日</formula1>
    </dataValidation>
    <dataValidation type="list" allowBlank="1" showInputMessage="1" showErrorMessage="1" sqref="Q2" xr:uid="{00000000-0002-0000-0500-000001000000}">
      <formula1>時刻</formula1>
    </dataValidation>
    <dataValidation type="list" allowBlank="1" showInputMessage="1" showErrorMessage="1" sqref="J3:K3" xr:uid="{00000000-0002-0000-0500-000002000000}">
      <formula1>暫定</formula1>
    </dataValidation>
    <dataValidation type="list" allowBlank="1" showInputMessage="1" showErrorMessage="1" sqref="G2" xr:uid="{00000000-0002-0000-0500-000003000000}">
      <formula1>月</formula1>
    </dataValidation>
    <dataValidation type="list" allowBlank="1" showInputMessage="1" showErrorMessage="1" sqref="N2 F38:G38" xr:uid="{00000000-0002-0000-0500-000004000000}">
      <formula1>コース</formula1>
    </dataValidation>
    <dataValidation type="list" showInputMessage="1" showErrorMessage="1" sqref="E3" xr:uid="{00000000-0002-0000-0500-000005000000}">
      <formula1>レース名</formula1>
    </dataValidation>
    <dataValidation type="list" allowBlank="1" showInputMessage="1" showErrorMessage="1" sqref="I6" xr:uid="{00000000-0002-0000-0500-000006000000}">
      <formula1>ＴＡ</formula1>
    </dataValidation>
    <dataValidation type="list" allowBlank="1" showInputMessage="1" showErrorMessage="1" sqref="D3" xr:uid="{00000000-0002-0000-0500-000007000000}">
      <formula1>レース番号</formula1>
    </dataValidation>
    <dataValidation type="list" allowBlank="1" showInputMessage="1" showErrorMessage="1" sqref="O6" xr:uid="{3F4A3B9F-497E-4056-98C7-C9A43D9D3045}">
      <formula1>$AA$6:$AE$6</formula1>
    </dataValidation>
  </dataValidations>
  <pageMargins left="0.31496062992125984" right="0" top="0.35433070866141736" bottom="0.19685039370078741" header="0" footer="0"/>
  <pageSetup paperSize="9" scale="99" orientation="landscape" horizontalDpi="4294967293"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49"/>
  <sheetViews>
    <sheetView view="pageBreakPreview" topLeftCell="A5" zoomScale="70" zoomScaleNormal="100" zoomScaleSheetLayoutView="70" workbookViewId="0">
      <selection activeCell="D21" sqref="D21"/>
    </sheetView>
  </sheetViews>
  <sheetFormatPr defaultColWidth="9" defaultRowHeight="13" x14ac:dyDescent="0.2"/>
  <cols>
    <col min="1" max="1" width="3" style="142" customWidth="1"/>
    <col min="2" max="2" width="4.26953125" style="142" customWidth="1"/>
    <col min="3" max="3" width="7.26953125" style="142" customWidth="1"/>
    <col min="4" max="4" width="16.26953125" style="142" customWidth="1"/>
    <col min="5" max="10" width="7.90625" style="142" customWidth="1"/>
    <col min="11" max="11" width="7.453125" style="142" customWidth="1"/>
    <col min="12" max="13" width="3.08984375" style="142" customWidth="1"/>
    <col min="14" max="14" width="7.7265625" style="142" customWidth="1"/>
    <col min="15" max="15" width="12.6328125" style="142" customWidth="1"/>
    <col min="16" max="16384" width="9" style="142"/>
  </cols>
  <sheetData>
    <row r="1" spans="2:15" s="152" customFormat="1" ht="19.5" customHeight="1" x14ac:dyDescent="0.2">
      <c r="B1" s="612" t="s">
        <v>268</v>
      </c>
      <c r="C1" s="612"/>
      <c r="D1" s="612"/>
      <c r="E1" s="612"/>
      <c r="F1" s="612"/>
      <c r="G1" s="612"/>
      <c r="H1" s="612"/>
      <c r="I1" s="612"/>
      <c r="J1" s="612"/>
      <c r="K1" s="612"/>
      <c r="L1" s="612"/>
      <c r="M1" s="612"/>
      <c r="N1" s="184"/>
      <c r="O1" s="185"/>
    </row>
    <row r="2" spans="2:15" s="188" customFormat="1" ht="23.25" customHeight="1" x14ac:dyDescent="0.3">
      <c r="B2" s="611" t="s">
        <v>159</v>
      </c>
      <c r="C2" s="611"/>
      <c r="D2" s="611"/>
      <c r="E2" s="611"/>
      <c r="F2" s="611"/>
      <c r="G2" s="611"/>
      <c r="H2" s="611"/>
      <c r="I2" s="611"/>
      <c r="J2" s="611"/>
      <c r="K2" s="611"/>
      <c r="L2" s="611"/>
      <c r="M2" s="611"/>
      <c r="N2" s="186"/>
      <c r="O2" s="187"/>
    </row>
    <row r="3" spans="2:15" s="152" customFormat="1" ht="21" customHeight="1" thickBot="1" x14ac:dyDescent="0.25">
      <c r="C3" s="148"/>
      <c r="I3" s="606" t="s">
        <v>269</v>
      </c>
      <c r="J3" s="606"/>
      <c r="K3" s="606"/>
      <c r="L3" s="606"/>
      <c r="M3" s="606"/>
      <c r="N3" s="189"/>
      <c r="O3" s="190"/>
    </row>
    <row r="4" spans="2:15" s="152" customFormat="1" ht="13.5" customHeight="1" x14ac:dyDescent="0.2">
      <c r="B4" s="613" t="s">
        <v>3</v>
      </c>
      <c r="C4" s="615" t="s">
        <v>67</v>
      </c>
      <c r="D4" s="617" t="s">
        <v>68</v>
      </c>
      <c r="E4" s="191" t="str">
        <f>参照ﾃﾞｰﾀ!M4</f>
        <v>＃616</v>
      </c>
      <c r="F4" s="191" t="str">
        <f>参照ﾃﾞｰﾀ!M5</f>
        <v>＃617</v>
      </c>
      <c r="G4" s="191" t="str">
        <f>参照ﾃﾞｰﾀ!M6</f>
        <v>＃618</v>
      </c>
      <c r="H4" s="191" t="str">
        <f>参照ﾃﾞｰﾀ!M7</f>
        <v>＃619</v>
      </c>
      <c r="I4" s="191" t="str">
        <f>参照ﾃﾞｰﾀ!M8</f>
        <v>＃620</v>
      </c>
      <c r="J4" s="191" t="str">
        <f>参照ﾃﾞｰﾀ!M9</f>
        <v>＃621</v>
      </c>
      <c r="K4" s="619" t="s">
        <v>69</v>
      </c>
      <c r="L4" s="621" t="s">
        <v>70</v>
      </c>
      <c r="M4" s="623" t="s">
        <v>71</v>
      </c>
      <c r="N4" s="192" t="s">
        <v>210</v>
      </c>
      <c r="O4" s="190"/>
    </row>
    <row r="5" spans="2:15" s="152" customFormat="1" ht="13.5" customHeight="1" x14ac:dyDescent="0.2">
      <c r="B5" s="614"/>
      <c r="C5" s="616"/>
      <c r="D5" s="618"/>
      <c r="E5" s="193">
        <f>参照ﾃﾞｰﾀ!J4</f>
        <v>46040</v>
      </c>
      <c r="F5" s="193">
        <f>参照ﾃﾞｰﾀ!J5</f>
        <v>46068</v>
      </c>
      <c r="G5" s="193">
        <f>参照ﾃﾞｰﾀ!J6</f>
        <v>46096</v>
      </c>
      <c r="H5" s="193">
        <f>参照ﾃﾞｰﾀ!J7</f>
        <v>46131</v>
      </c>
      <c r="I5" s="193">
        <f>参照ﾃﾞｰﾀ!J8</f>
        <v>46159</v>
      </c>
      <c r="J5" s="193">
        <f>参照ﾃﾞｰﾀ!J9</f>
        <v>46194</v>
      </c>
      <c r="K5" s="620"/>
      <c r="L5" s="622"/>
      <c r="M5" s="624"/>
      <c r="N5" s="193">
        <v>45536</v>
      </c>
      <c r="O5" s="190"/>
    </row>
    <row r="6" spans="2:15" s="196" customFormat="1" ht="22" x14ac:dyDescent="0.2">
      <c r="B6" s="614"/>
      <c r="C6" s="616"/>
      <c r="D6" s="618"/>
      <c r="E6" s="194" t="str">
        <f>参照ﾃﾞｰﾀ!AA4</f>
        <v>G</v>
      </c>
      <c r="F6" s="194" t="str">
        <f>参照ﾃﾞｰﾀ!AA5</f>
        <v>E</v>
      </c>
      <c r="G6" s="194" t="str">
        <f>参照ﾃﾞｰﾀ!AA6</f>
        <v>F</v>
      </c>
      <c r="H6" s="194" t="str">
        <f>参照ﾃﾞｰﾀ!AA7</f>
        <v>E</v>
      </c>
      <c r="I6" s="194" t="str">
        <f>参照ﾃﾞｰﾀ!AA8</f>
        <v>初島</v>
      </c>
      <c r="J6" s="194" t="str">
        <f>参照ﾃﾞｰﾀ!AA9</f>
        <v>A</v>
      </c>
      <c r="K6" s="620"/>
      <c r="L6" s="622"/>
      <c r="M6" s="624"/>
      <c r="N6" s="194" t="s">
        <v>43</v>
      </c>
      <c r="O6" s="195"/>
    </row>
    <row r="7" spans="2:15" s="152" customFormat="1" ht="14" x14ac:dyDescent="0.2">
      <c r="B7" s="197" t="s">
        <v>94</v>
      </c>
      <c r="C7" s="174">
        <v>7177</v>
      </c>
      <c r="D7" s="84" t="str">
        <f t="shared" ref="D7:D20" si="0">IF(ISBLANK(C7),"",VLOOKUP(C7,第1月ＴＡ,2,FALSE))</f>
        <v>Miss Emica</v>
      </c>
      <c r="E7" s="198">
        <f>IFERROR(VLOOKUP($C7,'1月'!$C$7:$O$31,13,FALSE),"")</f>
        <v>15</v>
      </c>
      <c r="F7" s="198" t="str">
        <f>IFERROR(VLOOKUP($C7,'2月'!$C$7:$O$31,13,FALSE),"")</f>
        <v/>
      </c>
      <c r="G7" s="198" t="str">
        <f>IFERROR(VLOOKUP($C7,'3月'!$C$7:$O$31,13,FALSE),"")</f>
        <v/>
      </c>
      <c r="H7" s="198" t="str">
        <f>IFERROR(VLOOKUP($C7,'4月'!$C$7:$O$31,13,FALSE),"")</f>
        <v/>
      </c>
      <c r="I7" s="198" t="str">
        <f>IFERROR(VLOOKUP($C7,'5月'!$C$7:$O$31,13,FALSE),"")</f>
        <v/>
      </c>
      <c r="J7" s="198" t="str">
        <f>IFERROR(VLOOKUP($C7,'6月'!$C$7:$O$31,13,FALSE),"")</f>
        <v/>
      </c>
      <c r="K7" s="199">
        <f t="shared" ref="K7:K20" si="1">SUM(E7:J7)</f>
        <v>15</v>
      </c>
      <c r="L7" s="200"/>
      <c r="M7" s="200"/>
      <c r="N7" s="201"/>
      <c r="O7" s="202"/>
    </row>
    <row r="8" spans="2:15" s="152" customFormat="1" ht="14" x14ac:dyDescent="0.2">
      <c r="B8" s="203" t="s">
        <v>72</v>
      </c>
      <c r="C8" s="176">
        <v>6732</v>
      </c>
      <c r="D8" s="94" t="str">
        <f t="shared" si="0"/>
        <v>アイデアル</v>
      </c>
      <c r="E8" s="230">
        <f>IFERROR(VLOOKUP($C8,'1月'!$C$7:$O$31,13,FALSE),"")</f>
        <v>13.8</v>
      </c>
      <c r="F8" s="204" t="str">
        <f>IFERROR(VLOOKUP($C8,'2月'!$C$7:$O$31,13,FALSE),"")</f>
        <v/>
      </c>
      <c r="G8" s="204" t="str">
        <f>IFERROR(VLOOKUP($C8,'3月'!$C$7:$O$31,13,FALSE),"")</f>
        <v/>
      </c>
      <c r="H8" s="204" t="str">
        <f>IFERROR(VLOOKUP($C8,'4月'!$C$7:$O$31,13,FALSE),"")</f>
        <v/>
      </c>
      <c r="I8" s="204" t="str">
        <f>IFERROR(VLOOKUP($C8,'5月'!$C$7:$O$31,13,FALSE),"")</f>
        <v/>
      </c>
      <c r="J8" s="204" t="str">
        <f>IFERROR(VLOOKUP($C8,'6月'!$C$7:$O$31,13,FALSE),"")</f>
        <v/>
      </c>
      <c r="K8" s="205">
        <f t="shared" si="1"/>
        <v>13.8</v>
      </c>
      <c r="L8" s="206"/>
      <c r="M8" s="206"/>
      <c r="N8" s="207"/>
      <c r="O8" s="208"/>
    </row>
    <row r="9" spans="2:15" s="152" customFormat="1" ht="14" x14ac:dyDescent="0.2">
      <c r="B9" s="203" t="s">
        <v>73</v>
      </c>
      <c r="C9" s="176">
        <v>6451</v>
      </c>
      <c r="D9" s="94" t="str">
        <f t="shared" si="0"/>
        <v>Hanamizuki</v>
      </c>
      <c r="E9" s="204">
        <f>IFERROR(VLOOKUP($C9,'1月'!$C$7:$O$31,13,FALSE),"")</f>
        <v>12.7</v>
      </c>
      <c r="F9" s="204" t="str">
        <f>IFERROR(VLOOKUP($C9,'2月'!$C$7:$O$31,13,FALSE),"")</f>
        <v/>
      </c>
      <c r="G9" s="204" t="str">
        <f>IFERROR(VLOOKUP($C9,'3月'!$C$7:$O$31,13,FALSE),"")</f>
        <v/>
      </c>
      <c r="H9" s="204" t="str">
        <f>IFERROR(VLOOKUP($C9,'4月'!$C$7:$O$31,13,FALSE),"")</f>
        <v/>
      </c>
      <c r="I9" s="204" t="str">
        <f>IFERROR(VLOOKUP($C9,'5月'!$C$7:$O$31,13,FALSE),"")</f>
        <v/>
      </c>
      <c r="J9" s="204" t="str">
        <f>IFERROR(VLOOKUP($C9,'6月'!$C$7:$O$31,13,FALSE),"")</f>
        <v/>
      </c>
      <c r="K9" s="205">
        <f t="shared" si="1"/>
        <v>12.7</v>
      </c>
      <c r="L9" s="206"/>
      <c r="M9" s="206"/>
      <c r="N9" s="207"/>
      <c r="O9" s="202"/>
    </row>
    <row r="10" spans="2:15" s="152" customFormat="1" ht="14" x14ac:dyDescent="0.2">
      <c r="B10" s="203" t="s">
        <v>74</v>
      </c>
      <c r="C10" s="176">
        <v>6971</v>
      </c>
      <c r="D10" s="94" t="str">
        <f t="shared" si="0"/>
        <v>LADY KANON</v>
      </c>
      <c r="E10" s="204">
        <f>IFERROR(VLOOKUP($C10,'1月'!$C$7:$O$31,13,FALSE),"")</f>
        <v>11.5</v>
      </c>
      <c r="F10" s="204" t="str">
        <f>IFERROR(VLOOKUP($C10,'2月'!$C$7:$O$31,13,FALSE),"")</f>
        <v/>
      </c>
      <c r="G10" s="204" t="str">
        <f>IFERROR(VLOOKUP($C10,'3月'!$C$7:$O$31,13,FALSE),"")</f>
        <v/>
      </c>
      <c r="H10" s="204" t="str">
        <f>IFERROR(VLOOKUP($C10,'4月'!$C$7:$O$31,13,FALSE),"")</f>
        <v/>
      </c>
      <c r="I10" s="204" t="str">
        <f>IFERROR(VLOOKUP($C10,'5月'!$C$7:$O$31,13,FALSE),"")</f>
        <v/>
      </c>
      <c r="J10" s="204" t="str">
        <f>IFERROR(VLOOKUP($C10,'6月'!$C$7:$O$31,13,FALSE),"")</f>
        <v/>
      </c>
      <c r="K10" s="205">
        <f t="shared" si="1"/>
        <v>11.5</v>
      </c>
      <c r="L10" s="206"/>
      <c r="M10" s="206"/>
      <c r="N10" s="207"/>
      <c r="O10" s="202"/>
    </row>
    <row r="11" spans="2:15" s="152" customFormat="1" ht="14" x14ac:dyDescent="0.2">
      <c r="B11" s="211" t="s">
        <v>95</v>
      </c>
      <c r="C11" s="176">
        <v>150</v>
      </c>
      <c r="D11" s="94" t="str">
        <f t="shared" si="0"/>
        <v>SHARK X</v>
      </c>
      <c r="E11" s="213">
        <f>IFERROR(VLOOKUP($C11,'1月'!$C$7:$O$31,13,FALSE),"")</f>
        <v>10.4</v>
      </c>
      <c r="F11" s="213" t="str">
        <f>IFERROR(VLOOKUP($C11,'2月'!$C$7:$O$31,13,FALSE),"")</f>
        <v/>
      </c>
      <c r="G11" s="213" t="str">
        <f>IFERROR(VLOOKUP($C11,'3月'!$C$7:$O$31,13,FALSE),"")</f>
        <v/>
      </c>
      <c r="H11" s="213" t="str">
        <f>IFERROR(VLOOKUP($C11,'4月'!$C$7:$O$31,13,FALSE),"")</f>
        <v/>
      </c>
      <c r="I11" s="213" t="str">
        <f>IFERROR(VLOOKUP($C11,'5月'!$C$7:$O$31,13,FALSE),"")</f>
        <v/>
      </c>
      <c r="J11" s="213" t="str">
        <f>IFERROR(VLOOKUP($C11,'6月'!$C$7:$O$31,13,FALSE),"")</f>
        <v/>
      </c>
      <c r="K11" s="214">
        <f t="shared" si="1"/>
        <v>10.4</v>
      </c>
      <c r="L11" s="215"/>
      <c r="M11" s="215"/>
      <c r="N11" s="216"/>
      <c r="O11" s="202"/>
    </row>
    <row r="12" spans="2:15" s="152" customFormat="1" ht="14" x14ac:dyDescent="0.2">
      <c r="B12" s="197" t="s">
        <v>75</v>
      </c>
      <c r="C12" s="174">
        <v>131</v>
      </c>
      <c r="D12" s="84" t="str">
        <f t="shared" si="0"/>
        <v>ふるたか</v>
      </c>
      <c r="E12" s="198">
        <f>IFERROR(VLOOKUP($C12,'1月'!$C$7:$O$31,13,FALSE),"")</f>
        <v>9.1999999999999993</v>
      </c>
      <c r="F12" s="198" t="str">
        <f>IFERROR(VLOOKUP($C12,'2月'!$C$7:$O$31,13,FALSE),"")</f>
        <v/>
      </c>
      <c r="G12" s="198" t="str">
        <f>IFERROR(VLOOKUP($C12,'3月'!$C$7:$O$31,13,FALSE),"")</f>
        <v/>
      </c>
      <c r="H12" s="198" t="str">
        <f>IFERROR(VLOOKUP($C12,'4月'!$C$7:$O$31,13,FALSE),"")</f>
        <v/>
      </c>
      <c r="I12" s="198" t="str">
        <f>IFERROR(VLOOKUP($C12,'5月'!$C$7:$O$31,13,FALSE),"")</f>
        <v/>
      </c>
      <c r="J12" s="226" t="str">
        <f>IFERROR(VLOOKUP($C12,'6月'!$C$7:$O$31,13,FALSE),"")</f>
        <v/>
      </c>
      <c r="K12" s="218">
        <f t="shared" si="1"/>
        <v>9.1999999999999993</v>
      </c>
      <c r="L12" s="200"/>
      <c r="M12" s="219"/>
      <c r="N12" s="220"/>
      <c r="O12" s="202"/>
    </row>
    <row r="13" spans="2:15" s="152" customFormat="1" ht="14" x14ac:dyDescent="0.2">
      <c r="B13" s="203" t="s">
        <v>76</v>
      </c>
      <c r="C13" s="176">
        <v>4071</v>
      </c>
      <c r="D13" s="94" t="str">
        <f t="shared" si="0"/>
        <v>胡桃</v>
      </c>
      <c r="E13" s="204">
        <f>IFERROR(VLOOKUP($C13,'1月'!$C$7:$O$31,13,FALSE),"")</f>
        <v>8.1</v>
      </c>
      <c r="F13" s="204" t="str">
        <f>IFERROR(VLOOKUP($C13,'2月'!$C$7:$O$31,13,FALSE),"")</f>
        <v/>
      </c>
      <c r="G13" s="204" t="str">
        <f>IFERROR(VLOOKUP($C13,'3月'!$C$7:$O$31,13,FALSE),"")</f>
        <v/>
      </c>
      <c r="H13" s="204" t="str">
        <f>IFERROR(VLOOKUP($C13,'4月'!$C$7:$O$31,13,FALSE),"")</f>
        <v/>
      </c>
      <c r="I13" s="204" t="str">
        <f>IFERROR(VLOOKUP($C13,'5月'!$C$7:$O$31,13,FALSE),"")</f>
        <v/>
      </c>
      <c r="J13" s="204" t="str">
        <f>IFERROR(VLOOKUP($C13,'6月'!$C$7:$O$31,13,FALSE),"")</f>
        <v/>
      </c>
      <c r="K13" s="205">
        <f t="shared" si="1"/>
        <v>8.1</v>
      </c>
      <c r="L13" s="206"/>
      <c r="M13" s="221"/>
      <c r="N13" s="207"/>
      <c r="O13" s="202"/>
    </row>
    <row r="14" spans="2:15" s="152" customFormat="1" ht="14" x14ac:dyDescent="0.2">
      <c r="B14" s="203" t="s">
        <v>77</v>
      </c>
      <c r="C14" s="264">
        <v>380</v>
      </c>
      <c r="D14" s="177" t="str">
        <f t="shared" si="0"/>
        <v>テティス</v>
      </c>
      <c r="E14" s="204">
        <f>IFERROR(VLOOKUP($C14,'1月'!$C$7:$O$31,13,FALSE),"")</f>
        <v>8.0769230769230766</v>
      </c>
      <c r="F14" s="204" t="str">
        <f>IFERROR(VLOOKUP($C14,'2月'!$C$7:$O$31,13,FALSE),"")</f>
        <v/>
      </c>
      <c r="G14" s="204" t="str">
        <f>IFERROR(VLOOKUP($C14,'3月'!$C$7:$O$31,13,FALSE),"")</f>
        <v/>
      </c>
      <c r="H14" s="204" t="str">
        <f>IFERROR(VLOOKUP($C14,'4月'!$C$7:$O$31,13,FALSE),"")</f>
        <v/>
      </c>
      <c r="I14" s="204" t="str">
        <f>IFERROR(VLOOKUP($C14,'5月'!$C$7:$O$31,13,FALSE),"")</f>
        <v/>
      </c>
      <c r="J14" s="204" t="str">
        <f>IFERROR(VLOOKUP($C14,'6月'!$C$7:$O$31,13,FALSE),"")</f>
        <v/>
      </c>
      <c r="K14" s="205">
        <f t="shared" si="1"/>
        <v>8.0769230769230766</v>
      </c>
      <c r="L14" s="221"/>
      <c r="M14" s="221"/>
      <c r="N14" s="207"/>
      <c r="O14" s="202"/>
    </row>
    <row r="15" spans="2:15" s="152" customFormat="1" ht="14" x14ac:dyDescent="0.2">
      <c r="B15" s="203" t="s">
        <v>78</v>
      </c>
      <c r="C15" s="176">
        <v>346</v>
      </c>
      <c r="D15" s="94" t="str">
        <f t="shared" si="0"/>
        <v>飛車角</v>
      </c>
      <c r="E15" s="204">
        <f>IFERROR(VLOOKUP($C15,'1月'!$C$7:$O$31,13,FALSE),"")</f>
        <v>6.9</v>
      </c>
      <c r="F15" s="204" t="str">
        <f>IFERROR(VLOOKUP($C15,'2月'!$C$7:$O$31,13,FALSE),"")</f>
        <v/>
      </c>
      <c r="G15" s="204" t="str">
        <f>IFERROR(VLOOKUP($C15,'3月'!$C$7:$O$31,13,FALSE),"")</f>
        <v/>
      </c>
      <c r="H15" s="204" t="str">
        <f>IFERROR(VLOOKUP($C15,'4月'!$C$7:$O$31,13,FALSE),"")</f>
        <v/>
      </c>
      <c r="I15" s="204" t="str">
        <f>IFERROR(VLOOKUP($C15,'5月'!$C$7:$O$31,13,FALSE),"")</f>
        <v/>
      </c>
      <c r="J15" s="204" t="str">
        <f>IFERROR(VLOOKUP($C15,'6月'!$C$7:$O$31,13,FALSE),"")</f>
        <v/>
      </c>
      <c r="K15" s="205">
        <f t="shared" si="1"/>
        <v>6.9</v>
      </c>
      <c r="L15" s="221"/>
      <c r="M15" s="221"/>
      <c r="N15" s="207"/>
      <c r="O15" s="208"/>
    </row>
    <row r="16" spans="2:15" s="152" customFormat="1" ht="14" x14ac:dyDescent="0.2">
      <c r="B16" s="211" t="s">
        <v>79</v>
      </c>
      <c r="C16" s="176">
        <v>321</v>
      </c>
      <c r="D16" s="105" t="str">
        <f t="shared" si="0"/>
        <v>かまくら</v>
      </c>
      <c r="E16" s="213">
        <f>IFERROR(VLOOKUP($C16,'1月'!$C$7:$O$31,13,FALSE),"")</f>
        <v>5.8</v>
      </c>
      <c r="F16" s="213" t="str">
        <f>IFERROR(VLOOKUP($C16,'2月'!$C$7:$O$31,13,FALSE),"")</f>
        <v/>
      </c>
      <c r="G16" s="213" t="str">
        <f>IFERROR(VLOOKUP($C16,'3月'!$C$7:$O$31,13,FALSE),"")</f>
        <v/>
      </c>
      <c r="H16" s="213" t="str">
        <f>IFERROR(VLOOKUP($C16,'4月'!$C$7:$O$31,13,FALSE),"")</f>
        <v/>
      </c>
      <c r="I16" s="213" t="str">
        <f>IFERROR(VLOOKUP($C16,'5月'!$C$7:$O$31,13,FALSE),"")</f>
        <v/>
      </c>
      <c r="J16" s="213" t="str">
        <f>IFERROR(VLOOKUP($C16,'6月'!$C$7:$O$31,13,FALSE),"")</f>
        <v/>
      </c>
      <c r="K16" s="214">
        <f t="shared" si="1"/>
        <v>5.8</v>
      </c>
      <c r="L16" s="215"/>
      <c r="M16" s="223"/>
      <c r="N16" s="216"/>
      <c r="O16" s="202" t="s">
        <v>120</v>
      </c>
    </row>
    <row r="17" spans="2:15" s="152" customFormat="1" ht="14" x14ac:dyDescent="0.2">
      <c r="B17" s="197" t="s">
        <v>96</v>
      </c>
      <c r="C17" s="174">
        <v>6269</v>
      </c>
      <c r="D17" s="134" t="str">
        <f t="shared" si="0"/>
        <v>VITTORIA</v>
      </c>
      <c r="E17" s="198">
        <f>IFERROR(VLOOKUP($C17,'1月'!$C$7:$O$31,13,FALSE),"")</f>
        <v>4.5999999999999996</v>
      </c>
      <c r="F17" s="550" t="str">
        <f>IFERROR(VLOOKUP($C17,'2月'!$C$7:$O$31,13,FALSE),"")</f>
        <v/>
      </c>
      <c r="G17" s="198" t="str">
        <f>IFERROR(VLOOKUP($C17,'3月'!$C$7:$O$31,13,FALSE),"")</f>
        <v/>
      </c>
      <c r="H17" s="198" t="str">
        <f>IFERROR(VLOOKUP($C17,'4月'!$C$7:$O$31,13,FALSE),"")</f>
        <v/>
      </c>
      <c r="I17" s="198" t="str">
        <f>IFERROR(VLOOKUP($C17,'5月'!$C$7:$O$31,13,FALSE),"")</f>
        <v/>
      </c>
      <c r="J17" s="226" t="str">
        <f>IFERROR(VLOOKUP($C17,'6月'!$C$7:$O$31,13,FALSE),"")</f>
        <v/>
      </c>
      <c r="K17" s="218">
        <f t="shared" si="1"/>
        <v>4.5999999999999996</v>
      </c>
      <c r="L17" s="219"/>
      <c r="M17" s="224"/>
      <c r="N17" s="220"/>
      <c r="O17" s="208"/>
    </row>
    <row r="18" spans="2:15" s="152" customFormat="1" ht="14" x14ac:dyDescent="0.2">
      <c r="B18" s="203" t="s">
        <v>97</v>
      </c>
      <c r="C18" s="176">
        <v>312</v>
      </c>
      <c r="D18" s="134" t="str">
        <f t="shared" si="0"/>
        <v>はやとり</v>
      </c>
      <c r="E18" s="210">
        <f>IFERROR(VLOOKUP($C18,'1月'!$C$7:$O$31,13,FALSE),"")</f>
        <v>3.5</v>
      </c>
      <c r="F18" s="204" t="str">
        <f>IFERROR(VLOOKUP($C18,'2月'!$C$7:$O$31,13,FALSE),"")</f>
        <v/>
      </c>
      <c r="G18" s="205" t="str">
        <f>IFERROR(VLOOKUP($C18,'3月'!$C$7:$O$31,13,FALSE),"")</f>
        <v/>
      </c>
      <c r="H18" s="205" t="str">
        <f>IFERROR(VLOOKUP($C18,'4月'!$C$7:$O$31,13,FALSE),"")</f>
        <v/>
      </c>
      <c r="I18" s="204" t="str">
        <f>IFERROR(VLOOKUP($C18,'5月'!$C$7:$O$31,13,FALSE),"")</f>
        <v/>
      </c>
      <c r="J18" s="204" t="str">
        <f>IFERROR(VLOOKUP($C18,'6月'!$C$7:$O$31,13,FALSE),"")</f>
        <v/>
      </c>
      <c r="K18" s="205">
        <f t="shared" si="1"/>
        <v>3.5</v>
      </c>
      <c r="L18" s="206"/>
      <c r="M18" s="221"/>
      <c r="N18" s="207"/>
      <c r="O18" s="202"/>
    </row>
    <row r="19" spans="2:15" s="152" customFormat="1" ht="14" x14ac:dyDescent="0.2">
      <c r="B19" s="203" t="s">
        <v>80</v>
      </c>
      <c r="C19" s="176">
        <v>4020</v>
      </c>
      <c r="D19" s="94" t="str">
        <f t="shared" si="0"/>
        <v>MELTEMI</v>
      </c>
      <c r="E19" s="210">
        <f>IFERROR(VLOOKUP($C19,'1月'!$C$7:$O$31,13,FALSE),"")</f>
        <v>2.2999999999999998</v>
      </c>
      <c r="F19" s="222" t="str">
        <f>IFERROR(VLOOKUP($C19,'2月'!$C$7:$O$31,13,FALSE),"")</f>
        <v/>
      </c>
      <c r="G19" s="204" t="str">
        <f>IFERROR(VLOOKUP($C19,'3月'!$C$7:$O$31,13,FALSE),"")</f>
        <v/>
      </c>
      <c r="H19" s="204" t="str">
        <f>IFERROR(VLOOKUP($C19,'4月'!$C$7:$O$31,13,FALSE),"")</f>
        <v/>
      </c>
      <c r="I19" s="204" t="str">
        <f>IFERROR(VLOOKUP($C19,'5月'!$C$7:$O$31,13,FALSE),"")</f>
        <v/>
      </c>
      <c r="J19" s="204" t="str">
        <f>IFERROR(VLOOKUP($C19,'6月'!$C$7:$O$31,13,FALSE),"")</f>
        <v/>
      </c>
      <c r="K19" s="205">
        <f t="shared" si="1"/>
        <v>2.2999999999999998</v>
      </c>
      <c r="L19" s="206"/>
      <c r="M19" s="221"/>
      <c r="N19" s="207"/>
      <c r="O19" s="202"/>
    </row>
    <row r="20" spans="2:15" s="152" customFormat="1" ht="14" x14ac:dyDescent="0.2">
      <c r="B20" s="203" t="s">
        <v>81</v>
      </c>
      <c r="C20" s="176">
        <v>2759</v>
      </c>
      <c r="D20" s="94" t="str">
        <f t="shared" si="0"/>
        <v>IXORA Ⅳ</v>
      </c>
      <c r="E20" s="204">
        <f>IFERROR(VLOOKUP($C20,'1月'!$C$7:$O$31,13,FALSE),"")</f>
        <v>1.2</v>
      </c>
      <c r="F20" s="204" t="str">
        <f>IFERROR(VLOOKUP($C20,'2月'!$C$7:$O$31,13,FALSE),"")</f>
        <v/>
      </c>
      <c r="G20" s="210" t="str">
        <f>IFERROR(VLOOKUP($C20,'3月'!$C$7:$O$31,13,FALSE),"")</f>
        <v/>
      </c>
      <c r="H20" s="210" t="str">
        <f>IFERROR(VLOOKUP($C20,'4月'!$C$7:$O$31,13,FALSE),"")</f>
        <v/>
      </c>
      <c r="I20" s="204" t="str">
        <f>IFERROR(VLOOKUP($C20,'5月'!$C$7:$O$31,13,FALSE),"")</f>
        <v/>
      </c>
      <c r="J20" s="204" t="str">
        <f>IFERROR(VLOOKUP($C20,'6月'!$C$7:$O$31,13,FALSE),"")</f>
        <v/>
      </c>
      <c r="K20" s="205">
        <f t="shared" si="1"/>
        <v>1.2</v>
      </c>
      <c r="L20" s="206"/>
      <c r="M20" s="221"/>
      <c r="N20" s="207"/>
      <c r="O20" s="208"/>
    </row>
    <row r="21" spans="2:15" s="152" customFormat="1" ht="14" x14ac:dyDescent="0.2">
      <c r="B21" s="211" t="s">
        <v>82</v>
      </c>
      <c r="C21" s="104"/>
      <c r="D21" s="212" t="str">
        <f t="shared" ref="D21:D26" si="2">IF(ISBLANK(C21),"",VLOOKUP(C21,第1月ＴＡ,2,FALSE))</f>
        <v/>
      </c>
      <c r="E21" s="213" t="str">
        <f>IFERROR(VLOOKUP($C21,'1月'!$C$7:$O$31,13,FALSE),"")</f>
        <v/>
      </c>
      <c r="F21" s="213" t="str">
        <f>IFERROR(VLOOKUP($C21,'2月'!$C$7:$O$31,13,FALSE),"")</f>
        <v/>
      </c>
      <c r="G21" s="213" t="str">
        <f>IFERROR(VLOOKUP($C21,'3月'!$C$7:$O$31,13,FALSE),"")</f>
        <v/>
      </c>
      <c r="H21" s="213" t="str">
        <f>IFERROR(VLOOKUP($C21,'4月'!$C$7:$O$31,13,FALSE),"")</f>
        <v/>
      </c>
      <c r="I21" s="213" t="str">
        <f>IFERROR(VLOOKUP($C21,'5月'!$C$7:$O$31,13,FALSE),"")</f>
        <v/>
      </c>
      <c r="J21" s="213" t="str">
        <f>IFERROR(VLOOKUP($C21,'6月'!$C$7:$O$31,13,FALSE),"")</f>
        <v/>
      </c>
      <c r="K21" s="214">
        <f t="shared" ref="K21:K26" si="3">SUM(E21:J21)</f>
        <v>0</v>
      </c>
      <c r="L21" s="215"/>
      <c r="M21" s="223"/>
      <c r="N21" s="216"/>
      <c r="O21" s="202"/>
    </row>
    <row r="22" spans="2:15" s="152" customFormat="1" ht="14" x14ac:dyDescent="0.2">
      <c r="B22" s="197" t="s">
        <v>83</v>
      </c>
      <c r="C22" s="122"/>
      <c r="D22" s="175" t="str">
        <f t="shared" si="2"/>
        <v/>
      </c>
      <c r="E22" s="198" t="str">
        <f>IFERROR(VLOOKUP($C22,'1月'!$C$7:$O$31,13,FALSE),"")</f>
        <v/>
      </c>
      <c r="F22" s="198" t="str">
        <f>IFERROR(VLOOKUP($C22,'2月'!$C$7:$O$31,13,FALSE),"")</f>
        <v/>
      </c>
      <c r="G22" s="198" t="str">
        <f>IFERROR(VLOOKUP($C22,'3月'!$C$7:$O$31,13,FALSE),"")</f>
        <v/>
      </c>
      <c r="H22" s="198" t="str">
        <f>IFERROR(VLOOKUP($C22,'4月'!$C$7:$O$31,13,FALSE),"")</f>
        <v/>
      </c>
      <c r="I22" s="198" t="str">
        <f>IFERROR(VLOOKUP($C22,'5月'!$C$7:$O$31,13,FALSE),"")</f>
        <v/>
      </c>
      <c r="J22" s="198" t="str">
        <f>IFERROR(VLOOKUP($C22,'6月'!$C$7:$O$31,13,FALSE),"")</f>
        <v/>
      </c>
      <c r="K22" s="199">
        <f t="shared" si="3"/>
        <v>0</v>
      </c>
      <c r="L22" s="200"/>
      <c r="M22" s="224"/>
      <c r="N22" s="220"/>
      <c r="O22" s="202"/>
    </row>
    <row r="23" spans="2:15" s="152" customFormat="1" ht="14" x14ac:dyDescent="0.2">
      <c r="B23" s="203" t="s">
        <v>84</v>
      </c>
      <c r="C23" s="93"/>
      <c r="D23" s="94" t="str">
        <f t="shared" si="2"/>
        <v/>
      </c>
      <c r="E23" s="226" t="str">
        <f>IFERROR(VLOOKUP($C23,'1月'!$C$7:$O$31,13,FALSE),"")</f>
        <v/>
      </c>
      <c r="F23" s="226" t="str">
        <f>IFERROR(VLOOKUP($C23,'2月'!$C$7:$O$31,13,FALSE),"")</f>
        <v/>
      </c>
      <c r="G23" s="226" t="str">
        <f>IFERROR(VLOOKUP($C23,'3月'!$C$7:$O$31,13,FALSE),"")</f>
        <v/>
      </c>
      <c r="H23" s="226" t="str">
        <f>IFERROR(VLOOKUP($C23,'4月'!$C$7:$O$31,13,FALSE),"")</f>
        <v/>
      </c>
      <c r="I23" s="226" t="str">
        <f>IFERROR(VLOOKUP($C23,'5月'!$C$7:$O$31,13,FALSE),"")</f>
        <v/>
      </c>
      <c r="J23" s="226" t="str">
        <f>IFERROR(VLOOKUP($C23,'6月'!$C$7:$O$31,13,FALSE),"")</f>
        <v/>
      </c>
      <c r="K23" s="218">
        <f t="shared" si="3"/>
        <v>0</v>
      </c>
      <c r="L23" s="206"/>
      <c r="M23" s="224"/>
      <c r="N23" s="220"/>
      <c r="O23" s="208"/>
    </row>
    <row r="24" spans="2:15" s="152" customFormat="1" ht="14" x14ac:dyDescent="0.2">
      <c r="B24" s="203" t="s">
        <v>85</v>
      </c>
      <c r="C24" s="93"/>
      <c r="D24" s="94" t="str">
        <f t="shared" si="2"/>
        <v/>
      </c>
      <c r="E24" s="204" t="str">
        <f>IFERROR(VLOOKUP($C24,'1月'!$C$7:$O$31,13,FALSE),"")</f>
        <v/>
      </c>
      <c r="F24" s="204" t="str">
        <f>IFERROR(VLOOKUP($C24,'2月'!$C$7:$O$31,13,FALSE),"")</f>
        <v/>
      </c>
      <c r="G24" s="204" t="str">
        <f>IFERROR(VLOOKUP($C24,'3月'!$C$7:$O$31,13,FALSE),"")</f>
        <v/>
      </c>
      <c r="H24" s="204" t="str">
        <f>IFERROR(VLOOKUP($C24,'4月'!$C$7:$O$31,13,FALSE),"")</f>
        <v/>
      </c>
      <c r="I24" s="222" t="str">
        <f>IFERROR(VLOOKUP($C24,'5月'!$C$7:$O$31,13,FALSE),"")</f>
        <v/>
      </c>
      <c r="J24" s="230" t="str">
        <f>IFERROR(VLOOKUP($C24,'6月'!$C$7:$O$31,13,FALSE),"")</f>
        <v/>
      </c>
      <c r="K24" s="218">
        <f t="shared" si="3"/>
        <v>0</v>
      </c>
      <c r="L24" s="206"/>
      <c r="M24" s="221"/>
      <c r="N24" s="207"/>
      <c r="O24" s="208"/>
    </row>
    <row r="25" spans="2:15" s="152" customFormat="1" ht="14" x14ac:dyDescent="0.2">
      <c r="B25" s="203" t="s">
        <v>86</v>
      </c>
      <c r="C25" s="93"/>
      <c r="D25" s="177" t="str">
        <f t="shared" si="2"/>
        <v/>
      </c>
      <c r="E25" s="204" t="str">
        <f>IFERROR(VLOOKUP($C25,'1月'!$C$7:$O$31,13,FALSE),"")</f>
        <v/>
      </c>
      <c r="F25" s="204" t="str">
        <f>IFERROR(VLOOKUP($C25,'2月'!$C$7:$O$31,13,FALSE),"")</f>
        <v/>
      </c>
      <c r="G25" s="204" t="str">
        <f>IFERROR(VLOOKUP($C25,'3月'!$C$7:$O$31,13,FALSE),"")</f>
        <v/>
      </c>
      <c r="H25" s="204" t="str">
        <f>IFERROR(VLOOKUP($C25,'4月'!$C$7:$O$31,13,FALSE),"")</f>
        <v/>
      </c>
      <c r="I25" s="204" t="str">
        <f>IFERROR(VLOOKUP($C25,'5月'!$C$7:$O$31,13,FALSE),"")</f>
        <v/>
      </c>
      <c r="J25" s="226" t="str">
        <f>IFERROR(VLOOKUP($C25,'6月'!$C$7:$O$31,13,FALSE),"")</f>
        <v/>
      </c>
      <c r="K25" s="218">
        <f t="shared" si="3"/>
        <v>0</v>
      </c>
      <c r="L25" s="206"/>
      <c r="M25" s="221"/>
      <c r="N25" s="207"/>
      <c r="O25" s="227"/>
    </row>
    <row r="26" spans="2:15" s="152" customFormat="1" ht="14" x14ac:dyDescent="0.2">
      <c r="B26" s="211" t="s">
        <v>98</v>
      </c>
      <c r="C26" s="178"/>
      <c r="D26" s="179" t="str">
        <f t="shared" si="2"/>
        <v/>
      </c>
      <c r="E26" s="213" t="str">
        <f>IFERROR(VLOOKUP($C26,'1月'!$C$7:$O$31,13,FALSE),"")</f>
        <v/>
      </c>
      <c r="F26" s="213" t="str">
        <f>IFERROR(VLOOKUP($C26,'2月'!$C$7:$O$31,13,FALSE),"")</f>
        <v/>
      </c>
      <c r="G26" s="217" t="str">
        <f>IFERROR(VLOOKUP($C26,'3月'!$C$7:$O$31,13,FALSE),"")</f>
        <v/>
      </c>
      <c r="H26" s="213" t="str">
        <f>IFERROR(VLOOKUP($C26,'4月'!$C$7:$O$31,13,FALSE),"")</f>
        <v/>
      </c>
      <c r="I26" s="213" t="str">
        <f>IFERROR(VLOOKUP($C26,'5月'!$C$7:$O$31,13,FALSE),"")</f>
        <v/>
      </c>
      <c r="J26" s="213" t="str">
        <f>IFERROR(VLOOKUP($C26,'6月'!$C$7:$O$31,13,FALSE),"")</f>
        <v/>
      </c>
      <c r="K26" s="214">
        <f t="shared" si="3"/>
        <v>0</v>
      </c>
      <c r="L26" s="215"/>
      <c r="M26" s="223"/>
      <c r="N26" s="216"/>
      <c r="O26" s="208"/>
    </row>
    <row r="27" spans="2:15" s="152" customFormat="1" ht="14" x14ac:dyDescent="0.2">
      <c r="B27" s="197" t="s">
        <v>87</v>
      </c>
      <c r="C27" s="93"/>
      <c r="D27" s="182" t="str">
        <f t="shared" ref="D27:D28" si="4">IF(ISBLANK(C27),"",VLOOKUP(C27,各艇データ,2,FALSE))</f>
        <v/>
      </c>
      <c r="E27" s="198"/>
      <c r="F27" s="198"/>
      <c r="G27" s="198"/>
      <c r="H27" s="198"/>
      <c r="I27" s="198"/>
      <c r="J27" s="226"/>
      <c r="K27" s="218"/>
      <c r="L27" s="219"/>
      <c r="M27" s="224"/>
      <c r="N27" s="220"/>
      <c r="O27" s="208"/>
    </row>
    <row r="28" spans="2:15" s="152" customFormat="1" ht="14" x14ac:dyDescent="0.2">
      <c r="B28" s="203" t="s">
        <v>88</v>
      </c>
      <c r="C28" s="180"/>
      <c r="D28" s="177" t="str">
        <f t="shared" si="4"/>
        <v/>
      </c>
      <c r="E28" s="222"/>
      <c r="F28" s="204"/>
      <c r="G28" s="204"/>
      <c r="H28" s="204"/>
      <c r="I28" s="204"/>
      <c r="J28" s="204"/>
      <c r="K28" s="205"/>
      <c r="L28" s="206"/>
      <c r="M28" s="221"/>
      <c r="N28" s="207"/>
      <c r="O28" s="202"/>
    </row>
    <row r="29" spans="2:15" s="152" customFormat="1" ht="14" x14ac:dyDescent="0.2">
      <c r="B29" s="203" t="s">
        <v>89</v>
      </c>
      <c r="C29" s="176"/>
      <c r="D29" s="177" t="str">
        <f t="shared" ref="D29:D36" si="5">IF(ISBLANK(C29),"",VLOOKUP(C29,各艇データ,2,FALSE))</f>
        <v/>
      </c>
      <c r="E29" s="204"/>
      <c r="F29" s="204"/>
      <c r="G29" s="204"/>
      <c r="H29" s="204"/>
      <c r="I29" s="204"/>
      <c r="J29" s="204"/>
      <c r="K29" s="205"/>
      <c r="L29" s="206"/>
      <c r="M29" s="221"/>
      <c r="N29" s="207"/>
      <c r="O29" s="202"/>
    </row>
    <row r="30" spans="2:15" s="152" customFormat="1" ht="14" x14ac:dyDescent="0.2">
      <c r="B30" s="203" t="s">
        <v>90</v>
      </c>
      <c r="C30" s="176"/>
      <c r="D30" s="177" t="str">
        <f t="shared" si="5"/>
        <v/>
      </c>
      <c r="E30" s="204"/>
      <c r="F30" s="204"/>
      <c r="G30" s="204"/>
      <c r="H30" s="204"/>
      <c r="I30" s="204"/>
      <c r="J30" s="204"/>
      <c r="K30" s="205"/>
      <c r="L30" s="206"/>
      <c r="M30" s="221"/>
      <c r="N30" s="207"/>
      <c r="O30" s="202"/>
    </row>
    <row r="31" spans="2:15" s="152" customFormat="1" ht="14" x14ac:dyDescent="0.2">
      <c r="B31" s="211" t="s">
        <v>91</v>
      </c>
      <c r="C31" s="178"/>
      <c r="D31" s="179" t="str">
        <f t="shared" si="5"/>
        <v/>
      </c>
      <c r="E31" s="213"/>
      <c r="F31" s="213"/>
      <c r="G31" s="213"/>
      <c r="H31" s="213"/>
      <c r="I31" s="213"/>
      <c r="J31" s="213"/>
      <c r="K31" s="214"/>
      <c r="L31" s="215"/>
      <c r="M31" s="223"/>
      <c r="N31" s="216"/>
      <c r="O31" s="202"/>
    </row>
    <row r="32" spans="2:15" s="152" customFormat="1" ht="14" x14ac:dyDescent="0.2">
      <c r="B32" s="229" t="s">
        <v>87</v>
      </c>
      <c r="C32" s="225"/>
      <c r="D32" s="182" t="str">
        <f t="shared" si="5"/>
        <v/>
      </c>
      <c r="E32" s="230"/>
      <c r="F32" s="226"/>
      <c r="G32" s="226"/>
      <c r="H32" s="231"/>
      <c r="I32" s="226"/>
      <c r="J32" s="226"/>
      <c r="K32" s="218"/>
      <c r="L32" s="219"/>
      <c r="M32" s="224"/>
      <c r="N32" s="220"/>
      <c r="O32" s="208"/>
    </row>
    <row r="33" spans="2:15" s="152" customFormat="1" ht="14" x14ac:dyDescent="0.2">
      <c r="B33" s="203" t="s">
        <v>88</v>
      </c>
      <c r="C33" s="180"/>
      <c r="D33" s="177" t="str">
        <f t="shared" si="5"/>
        <v/>
      </c>
      <c r="E33" s="222"/>
      <c r="F33" s="204"/>
      <c r="G33" s="204"/>
      <c r="H33" s="204"/>
      <c r="I33" s="222"/>
      <c r="J33" s="222"/>
      <c r="K33" s="205"/>
      <c r="L33" s="206"/>
      <c r="M33" s="221"/>
      <c r="N33" s="207"/>
      <c r="O33" s="202"/>
    </row>
    <row r="34" spans="2:15" s="152" customFormat="1" ht="14" x14ac:dyDescent="0.2">
      <c r="B34" s="203" t="s">
        <v>89</v>
      </c>
      <c r="C34" s="181"/>
      <c r="D34" s="177" t="str">
        <f t="shared" si="5"/>
        <v/>
      </c>
      <c r="E34" s="204"/>
      <c r="F34" s="209"/>
      <c r="G34" s="222"/>
      <c r="H34" s="204"/>
      <c r="I34" s="204"/>
      <c r="J34" s="204"/>
      <c r="K34" s="205"/>
      <c r="L34" s="206"/>
      <c r="M34" s="221"/>
      <c r="N34" s="207"/>
      <c r="O34" s="202"/>
    </row>
    <row r="35" spans="2:15" s="152" customFormat="1" ht="14" x14ac:dyDescent="0.2">
      <c r="B35" s="203" t="s">
        <v>90</v>
      </c>
      <c r="C35" s="176"/>
      <c r="D35" s="177" t="str">
        <f t="shared" si="5"/>
        <v/>
      </c>
      <c r="E35" s="204"/>
      <c r="F35" s="204"/>
      <c r="G35" s="204"/>
      <c r="H35" s="204"/>
      <c r="I35" s="222"/>
      <c r="J35" s="222"/>
      <c r="K35" s="205"/>
      <c r="L35" s="206"/>
      <c r="M35" s="221"/>
      <c r="N35" s="207"/>
      <c r="O35" s="202"/>
    </row>
    <row r="36" spans="2:15" s="152" customFormat="1" ht="14.5" thickBot="1" x14ac:dyDescent="0.25">
      <c r="B36" s="232" t="s">
        <v>91</v>
      </c>
      <c r="C36" s="233"/>
      <c r="D36" s="234" t="str">
        <f t="shared" si="5"/>
        <v/>
      </c>
      <c r="E36" s="235"/>
      <c r="F36" s="235"/>
      <c r="G36" s="235"/>
      <c r="H36" s="235"/>
      <c r="I36" s="235"/>
      <c r="J36" s="235"/>
      <c r="K36" s="236"/>
      <c r="L36" s="237"/>
      <c r="M36" s="238"/>
      <c r="N36" s="228"/>
      <c r="O36" s="202"/>
    </row>
    <row r="37" spans="2:15" s="152" customFormat="1" ht="15" thickTop="1" thickBot="1" x14ac:dyDescent="0.25">
      <c r="B37" s="607" t="s">
        <v>92</v>
      </c>
      <c r="C37" s="608"/>
      <c r="D37" s="609"/>
      <c r="E37" s="239">
        <f t="shared" ref="E37:I37" si="6">COUNT(E7:E36)</f>
        <v>14</v>
      </c>
      <c r="F37" s="239">
        <f t="shared" si="6"/>
        <v>0</v>
      </c>
      <c r="G37" s="239">
        <f>COUNT(G7:G36)</f>
        <v>0</v>
      </c>
      <c r="H37" s="239">
        <f t="shared" si="6"/>
        <v>0</v>
      </c>
      <c r="I37" s="239">
        <f t="shared" si="6"/>
        <v>0</v>
      </c>
      <c r="J37" s="239"/>
      <c r="K37" s="239"/>
      <c r="L37" s="240"/>
      <c r="M37" s="241"/>
      <c r="N37" s="242"/>
      <c r="O37" s="202"/>
    </row>
    <row r="38" spans="2:15" s="152" customFormat="1" ht="14" x14ac:dyDescent="0.2">
      <c r="B38" s="148" t="s">
        <v>99</v>
      </c>
      <c r="C38" s="148"/>
      <c r="O38" s="243"/>
    </row>
    <row r="39" spans="2:15" s="152" customFormat="1" ht="14" x14ac:dyDescent="0.2">
      <c r="B39" s="152" t="s">
        <v>271</v>
      </c>
      <c r="C39" s="148"/>
      <c r="K39" s="244"/>
      <c r="L39" s="244"/>
      <c r="M39" s="244"/>
      <c r="N39" s="244"/>
      <c r="O39" s="244"/>
    </row>
    <row r="40" spans="2:15" s="152" customFormat="1" ht="14" x14ac:dyDescent="0.2">
      <c r="C40" s="148" t="s">
        <v>272</v>
      </c>
      <c r="I40" s="610" t="s">
        <v>220</v>
      </c>
      <c r="J40" s="610"/>
      <c r="K40" s="610"/>
      <c r="L40" s="610"/>
      <c r="M40" s="610"/>
      <c r="N40" s="245"/>
      <c r="O40" s="246"/>
    </row>
    <row r="41" spans="2:15" s="152" customFormat="1" ht="14.5" thickBot="1" x14ac:dyDescent="0.25">
      <c r="C41" s="148"/>
    </row>
    <row r="42" spans="2:15" s="152" customFormat="1" ht="14.5" thickTop="1" x14ac:dyDescent="0.2">
      <c r="C42" s="148"/>
      <c r="D42" s="247"/>
      <c r="E42" s="248"/>
      <c r="F42" s="248"/>
      <c r="G42" s="248"/>
      <c r="H42" s="249"/>
    </row>
    <row r="43" spans="2:15" s="152" customFormat="1" ht="14" x14ac:dyDescent="0.2">
      <c r="C43" s="148"/>
      <c r="D43" s="250" t="s">
        <v>93</v>
      </c>
      <c r="E43" s="251"/>
      <c r="H43" s="252"/>
    </row>
    <row r="44" spans="2:15" s="152" customFormat="1" ht="14" x14ac:dyDescent="0.2">
      <c r="C44" s="148"/>
      <c r="D44" s="604" t="s">
        <v>155</v>
      </c>
      <c r="E44" s="605"/>
      <c r="H44" s="252"/>
    </row>
    <row r="45" spans="2:15" s="152" customFormat="1" ht="14" x14ac:dyDescent="0.2">
      <c r="C45" s="148"/>
      <c r="D45" s="604" t="s">
        <v>156</v>
      </c>
      <c r="E45" s="605"/>
      <c r="H45" s="252"/>
    </row>
    <row r="46" spans="2:15" s="152" customFormat="1" ht="14" x14ac:dyDescent="0.2">
      <c r="C46" s="148"/>
      <c r="D46" s="250" t="s">
        <v>100</v>
      </c>
      <c r="E46" s="253" t="s">
        <v>157</v>
      </c>
      <c r="F46" s="254"/>
      <c r="G46" s="254"/>
      <c r="H46" s="252"/>
    </row>
    <row r="47" spans="2:15" s="152" customFormat="1" ht="14" x14ac:dyDescent="0.2">
      <c r="C47" s="148"/>
      <c r="D47" s="250" t="s">
        <v>101</v>
      </c>
      <c r="E47" s="253" t="s">
        <v>158</v>
      </c>
      <c r="F47" s="254"/>
      <c r="G47" s="254"/>
      <c r="H47" s="252"/>
      <c r="K47" s="255"/>
    </row>
    <row r="48" spans="2:15" s="152" customFormat="1" ht="14.5" thickBot="1" x14ac:dyDescent="0.25">
      <c r="C48" s="148"/>
      <c r="D48" s="256"/>
      <c r="E48" s="257"/>
      <c r="F48" s="257"/>
      <c r="G48" s="257"/>
      <c r="H48" s="258"/>
    </row>
    <row r="49" spans="3:3" s="152" customFormat="1" ht="14.5" thickTop="1" x14ac:dyDescent="0.2">
      <c r="C49" s="148"/>
    </row>
  </sheetData>
  <sheetProtection algorithmName="SHA-512" hashValue="eus34ypZo6qyggtZzVPYTTjs6vDWj+4jMYVhwX4GUi3bNDKQ45DNIPiD4gL923jJRY4zJVZ+XNIjnsnKvqE6ww==" saltValue="JLEUUe0wljbAJWcW1ZJm8Q==" spinCount="100000" sheet="1" objects="1" scenarios="1"/>
  <sortState xmlns:xlrd2="http://schemas.microsoft.com/office/spreadsheetml/2017/richdata2" ref="C7:K20">
    <sortCondition descending="1" ref="K7:K20"/>
  </sortState>
  <mergeCells count="13">
    <mergeCell ref="B1:M1"/>
    <mergeCell ref="B4:B6"/>
    <mergeCell ref="C4:C6"/>
    <mergeCell ref="D4:D6"/>
    <mergeCell ref="K4:K6"/>
    <mergeCell ref="L4:L6"/>
    <mergeCell ref="M4:M6"/>
    <mergeCell ref="D45:E45"/>
    <mergeCell ref="I3:M3"/>
    <mergeCell ref="B37:D37"/>
    <mergeCell ref="I40:M40"/>
    <mergeCell ref="B2:M2"/>
    <mergeCell ref="D44:E44"/>
  </mergeCells>
  <phoneticPr fontId="5"/>
  <dataValidations count="3">
    <dataValidation type="list" allowBlank="1" showInputMessage="1" showErrorMessage="1" sqref="I6:J6 N6 E6:G6" xr:uid="{00000000-0002-0000-0600-000000000000}">
      <formula1>コース</formula1>
    </dataValidation>
    <dataValidation type="list" allowBlank="1" showInputMessage="1" showErrorMessage="1" sqref="N4 E4:J4" xr:uid="{00000000-0002-0000-0600-000001000000}">
      <formula1>レース番号</formula1>
    </dataValidation>
    <dataValidation type="list" allowBlank="1" showInputMessage="1" showErrorMessage="1" sqref="E5:J5 N5" xr:uid="{00000000-0002-0000-0600-000002000000}">
      <formula1>開催日</formula1>
    </dataValidation>
  </dataValidations>
  <pageMargins left="0.51181102362204722" right="0.31496062992125984" top="0.74803149606299213" bottom="0.74803149606299213" header="0.31496062992125984" footer="0.31496062992125984"/>
  <pageSetup paperSize="9" scale="92"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3000000}">
          <x14:formula1>
            <xm:f>参照ﾃﾞｰﾀ!$B$4:$B$17</xm:f>
          </x14:formula1>
          <xm:sqref>H6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T34"/>
  <sheetViews>
    <sheetView topLeftCell="A3" workbookViewId="0">
      <selection activeCell="K9" sqref="K9"/>
    </sheetView>
  </sheetViews>
  <sheetFormatPr defaultRowHeight="13" x14ac:dyDescent="0.2"/>
  <cols>
    <col min="1" max="1" width="2.453125" customWidth="1"/>
    <col min="2" max="13" width="8.36328125" customWidth="1"/>
    <col min="14" max="14" width="9.26953125" customWidth="1"/>
    <col min="15" max="15" width="7.6328125" customWidth="1"/>
    <col min="16" max="16" width="15.08984375" customWidth="1"/>
    <col min="17" max="17" width="13.90625" customWidth="1"/>
    <col min="18" max="18" width="13.7265625" bestFit="1" customWidth="1"/>
    <col min="19" max="19" width="12.453125" customWidth="1"/>
  </cols>
  <sheetData>
    <row r="1" spans="2:20" s="2" customFormat="1" ht="14.25" customHeight="1" x14ac:dyDescent="0.25">
      <c r="B1" s="630"/>
      <c r="C1" s="630"/>
      <c r="D1" s="630"/>
      <c r="E1" s="630"/>
      <c r="F1" s="630"/>
      <c r="G1" s="630"/>
      <c r="H1" s="630"/>
      <c r="I1" s="630"/>
      <c r="J1" s="630"/>
      <c r="K1" s="630"/>
      <c r="L1" s="630"/>
      <c r="O1" s="627" t="s">
        <v>266</v>
      </c>
      <c r="P1" s="627"/>
      <c r="Q1" s="627"/>
      <c r="R1" s="627"/>
      <c r="S1" s="627"/>
      <c r="T1" s="47"/>
    </row>
    <row r="2" spans="2:20" s="16" customFormat="1" ht="20.25" customHeight="1" x14ac:dyDescent="0.3">
      <c r="B2" s="631" t="s">
        <v>102</v>
      </c>
      <c r="C2" s="631"/>
      <c r="D2" s="631"/>
      <c r="E2" s="631"/>
      <c r="F2" s="631"/>
      <c r="G2" s="631"/>
      <c r="H2" s="631"/>
      <c r="I2" s="631"/>
      <c r="J2" s="631"/>
      <c r="K2" s="631"/>
      <c r="L2" s="631"/>
      <c r="M2" s="631"/>
      <c r="O2" s="46"/>
      <c r="P2" s="46"/>
      <c r="Q2" s="46"/>
      <c r="R2" s="48"/>
      <c r="S2" s="46"/>
      <c r="T2" s="47"/>
    </row>
    <row r="3" spans="2:20" s="2" customFormat="1" ht="21" customHeight="1" x14ac:dyDescent="0.2">
      <c r="B3" s="632"/>
      <c r="C3" s="632"/>
      <c r="D3" s="632"/>
      <c r="E3" s="632"/>
      <c r="F3" s="632"/>
      <c r="G3" s="632"/>
      <c r="H3" s="632"/>
      <c r="I3" s="632"/>
      <c r="J3" s="632"/>
      <c r="K3" s="632"/>
      <c r="L3" s="633"/>
      <c r="M3" s="634"/>
      <c r="O3" s="49"/>
      <c r="P3" s="49"/>
      <c r="Q3" s="49"/>
      <c r="R3" s="49"/>
      <c r="S3" s="47" t="s">
        <v>121</v>
      </c>
    </row>
    <row r="4" spans="2:20" s="2" customFormat="1" ht="20.25" customHeight="1" x14ac:dyDescent="0.2">
      <c r="B4" s="19" t="str">
        <f>参照ﾃﾞｰﾀ!Y4</f>
        <v>＃616</v>
      </c>
      <c r="C4" s="20" t="str">
        <f>'1月'!N2</f>
        <v>G</v>
      </c>
      <c r="D4" s="19" t="str">
        <f>参照ﾃﾞｰﾀ!Y5</f>
        <v>＃617</v>
      </c>
      <c r="E4" s="20" t="str">
        <f>'2月'!N2</f>
        <v>E</v>
      </c>
      <c r="F4" s="19" t="str">
        <f>参照ﾃﾞｰﾀ!Y6</f>
        <v>＃618</v>
      </c>
      <c r="G4" s="20" t="str">
        <f>'3月'!N2</f>
        <v>F</v>
      </c>
      <c r="H4" s="19" t="str">
        <f>参照ﾃﾞｰﾀ!Y7</f>
        <v>＃619</v>
      </c>
      <c r="I4" s="20" t="str">
        <f>'4月'!N2</f>
        <v>E</v>
      </c>
      <c r="J4" s="19" t="str">
        <f>参照ﾃﾞｰﾀ!Y8</f>
        <v>＃620</v>
      </c>
      <c r="K4" s="20" t="str">
        <f>'5月'!N2</f>
        <v>初島</v>
      </c>
      <c r="L4" s="19" t="str">
        <f>参照ﾃﾞｰﾀ!Y9</f>
        <v>＃621</v>
      </c>
      <c r="M4" s="21" t="str">
        <f>'6月'!N2</f>
        <v>A</v>
      </c>
      <c r="O4" s="50"/>
      <c r="P4" s="50"/>
      <c r="Q4" s="50"/>
      <c r="R4" s="50"/>
      <c r="S4" s="50"/>
      <c r="T4" s="51"/>
    </row>
    <row r="5" spans="2:20" s="17" customFormat="1" ht="46.5" customHeight="1" x14ac:dyDescent="0.2">
      <c r="B5" s="625">
        <f>参照ﾃﾞｰﾀ!$J4</f>
        <v>46040</v>
      </c>
      <c r="C5" s="626"/>
      <c r="D5" s="625">
        <f>参照ﾃﾞｰﾀ!$J5</f>
        <v>46068</v>
      </c>
      <c r="E5" s="626"/>
      <c r="F5" s="625">
        <f>参照ﾃﾞｰﾀ!$J6</f>
        <v>46096</v>
      </c>
      <c r="G5" s="626"/>
      <c r="H5" s="625">
        <f>参照ﾃﾞｰﾀ!$J7</f>
        <v>46131</v>
      </c>
      <c r="I5" s="626"/>
      <c r="J5" s="625">
        <f>参照ﾃﾞｰﾀ!$J8</f>
        <v>46159</v>
      </c>
      <c r="K5" s="626"/>
      <c r="L5" s="625">
        <f>参照ﾃﾞｰﾀ!J9</f>
        <v>46194</v>
      </c>
      <c r="M5" s="626"/>
      <c r="O5" s="628" t="s">
        <v>122</v>
      </c>
      <c r="P5" s="629"/>
      <c r="Q5" s="52" t="s">
        <v>33</v>
      </c>
      <c r="R5" s="52" t="s">
        <v>123</v>
      </c>
      <c r="S5" s="52" t="s">
        <v>124</v>
      </c>
      <c r="T5" s="51"/>
    </row>
    <row r="6" spans="2:20" s="2" customFormat="1" ht="21" customHeight="1" x14ac:dyDescent="0.2">
      <c r="B6" s="22" t="s">
        <v>103</v>
      </c>
      <c r="C6" s="23" t="s">
        <v>68</v>
      </c>
      <c r="D6" s="22" t="s">
        <v>103</v>
      </c>
      <c r="E6" s="23" t="s">
        <v>68</v>
      </c>
      <c r="F6" s="22" t="s">
        <v>103</v>
      </c>
      <c r="G6" s="23" t="s">
        <v>68</v>
      </c>
      <c r="H6" s="22" t="s">
        <v>103</v>
      </c>
      <c r="I6" s="23" t="s">
        <v>68</v>
      </c>
      <c r="J6" s="22" t="s">
        <v>103</v>
      </c>
      <c r="K6" s="23" t="s">
        <v>68</v>
      </c>
      <c r="L6" s="22" t="s">
        <v>103</v>
      </c>
      <c r="M6" s="23" t="s">
        <v>68</v>
      </c>
      <c r="O6" s="53" t="s">
        <v>125</v>
      </c>
      <c r="P6" s="58">
        <f>参照ﾃﾞｰﾀ!Z4</f>
        <v>46040</v>
      </c>
      <c r="Q6" s="58" t="str">
        <f>参照ﾃﾞｰﾀ!AA4</f>
        <v>G</v>
      </c>
      <c r="R6" s="464" t="str">
        <f>参照ﾃﾞｰﾀ!AB4</f>
        <v>テティス</v>
      </c>
      <c r="S6" s="54"/>
      <c r="T6" s="48"/>
    </row>
    <row r="7" spans="2:20" s="2" customFormat="1" ht="18" customHeight="1" x14ac:dyDescent="0.2">
      <c r="B7" s="24" t="s">
        <v>329</v>
      </c>
      <c r="C7" s="25" t="s">
        <v>328</v>
      </c>
      <c r="D7" s="24"/>
      <c r="E7" s="25"/>
      <c r="F7" s="24"/>
      <c r="G7" s="26"/>
      <c r="H7" s="27"/>
      <c r="I7" s="25"/>
      <c r="J7" s="27"/>
      <c r="K7" s="25"/>
      <c r="L7" s="24"/>
      <c r="M7" s="25"/>
      <c r="O7" s="53" t="s">
        <v>126</v>
      </c>
      <c r="P7" s="58">
        <f>参照ﾃﾞｰﾀ!Z5</f>
        <v>46068</v>
      </c>
      <c r="Q7" s="58" t="str">
        <f>参照ﾃﾞｰﾀ!AA5</f>
        <v>E</v>
      </c>
      <c r="R7" s="464" t="str">
        <f>参照ﾃﾞｰﾀ!AB5</f>
        <v>はやとり</v>
      </c>
      <c r="S7" s="54"/>
      <c r="T7" s="48"/>
    </row>
    <row r="8" spans="2:20" s="2" customFormat="1" ht="18" customHeight="1" x14ac:dyDescent="0.2">
      <c r="B8" s="24" t="s">
        <v>340</v>
      </c>
      <c r="C8" s="25" t="s">
        <v>328</v>
      </c>
      <c r="D8" s="28"/>
      <c r="E8" s="25"/>
      <c r="F8" s="28"/>
      <c r="G8" s="29"/>
      <c r="H8" s="30"/>
      <c r="I8" s="25"/>
      <c r="J8" s="30"/>
      <c r="K8" s="29"/>
      <c r="L8" s="28"/>
      <c r="M8" s="29"/>
      <c r="O8" s="53" t="s">
        <v>127</v>
      </c>
      <c r="P8" s="58">
        <f>参照ﾃﾞｰﾀ!Z6</f>
        <v>46096</v>
      </c>
      <c r="Q8" s="58" t="str">
        <f>参照ﾃﾞｰﾀ!AA6</f>
        <v>F</v>
      </c>
      <c r="R8" s="464" t="str">
        <f>参照ﾃﾞｰﾀ!AB6</f>
        <v>ふるたか</v>
      </c>
      <c r="S8" s="54"/>
      <c r="T8" s="48"/>
    </row>
    <row r="9" spans="2:20" s="2" customFormat="1" ht="18" customHeight="1" x14ac:dyDescent="0.2">
      <c r="B9" s="24" t="s">
        <v>341</v>
      </c>
      <c r="C9" s="25" t="s">
        <v>328</v>
      </c>
      <c r="D9" s="31"/>
      <c r="E9" s="25"/>
      <c r="F9" s="28"/>
      <c r="G9" s="29"/>
      <c r="H9" s="31"/>
      <c r="I9" s="29"/>
      <c r="J9" s="32"/>
      <c r="K9" s="29"/>
      <c r="L9" s="31"/>
      <c r="M9" s="29"/>
      <c r="O9" s="53" t="s">
        <v>128</v>
      </c>
      <c r="P9" s="58">
        <f>参照ﾃﾞｰﾀ!Z7</f>
        <v>46131</v>
      </c>
      <c r="Q9" s="58" t="str">
        <f>参照ﾃﾞｰﾀ!AA7</f>
        <v>E</v>
      </c>
      <c r="R9" s="464" t="str">
        <f>参照ﾃﾞｰﾀ!AB7</f>
        <v>ネプチューン</v>
      </c>
      <c r="S9" s="54"/>
      <c r="T9" s="48"/>
    </row>
    <row r="10" spans="2:20" s="2" customFormat="1" ht="18" customHeight="1" x14ac:dyDescent="0.2">
      <c r="B10" s="31" t="s">
        <v>342</v>
      </c>
      <c r="C10" s="25" t="s">
        <v>328</v>
      </c>
      <c r="D10" s="31"/>
      <c r="E10" s="25"/>
      <c r="F10" s="28"/>
      <c r="G10" s="29"/>
      <c r="H10" s="32"/>
      <c r="I10" s="29"/>
      <c r="J10" s="32"/>
      <c r="K10" s="29"/>
      <c r="L10" s="31"/>
      <c r="M10" s="29"/>
      <c r="O10" s="53" t="s">
        <v>129</v>
      </c>
      <c r="P10" s="58">
        <f>参照ﾃﾞｰﾀ!Z8</f>
        <v>46159</v>
      </c>
      <c r="Q10" s="58" t="str">
        <f>参照ﾃﾞｰﾀ!AA8</f>
        <v>初島</v>
      </c>
      <c r="R10" s="464" t="str">
        <f>参照ﾃﾞｰﾀ!AB8</f>
        <v>かまくら</v>
      </c>
      <c r="S10" s="54"/>
      <c r="T10" s="48"/>
    </row>
    <row r="11" spans="2:20" s="2" customFormat="1" ht="18" customHeight="1" x14ac:dyDescent="0.2">
      <c r="B11" s="31" t="s">
        <v>330</v>
      </c>
      <c r="C11" s="25" t="s">
        <v>328</v>
      </c>
      <c r="D11" s="31"/>
      <c r="E11" s="25"/>
      <c r="F11" s="28"/>
      <c r="G11" s="29"/>
      <c r="H11" s="32"/>
      <c r="I11" s="29"/>
      <c r="J11" s="32"/>
      <c r="K11" s="29"/>
      <c r="L11" s="31"/>
      <c r="M11" s="25"/>
      <c r="O11" s="53" t="s">
        <v>130</v>
      </c>
      <c r="P11" s="58">
        <f>参照ﾃﾞｰﾀ!Z9</f>
        <v>46194</v>
      </c>
      <c r="Q11" s="58" t="str">
        <f>参照ﾃﾞｰﾀ!AA9</f>
        <v>A</v>
      </c>
      <c r="R11" s="464" t="str">
        <f>参照ﾃﾞｰﾀ!AB9</f>
        <v>IDEAL</v>
      </c>
      <c r="S11" s="54"/>
      <c r="T11" s="48"/>
    </row>
    <row r="12" spans="2:20" s="2" customFormat="1" ht="18" customHeight="1" x14ac:dyDescent="0.2">
      <c r="B12" s="31" t="s">
        <v>331</v>
      </c>
      <c r="C12" s="29" t="s">
        <v>332</v>
      </c>
      <c r="D12" s="31"/>
      <c r="E12" s="25"/>
      <c r="F12" s="28"/>
      <c r="G12" s="25"/>
      <c r="H12" s="32"/>
      <c r="I12" s="29"/>
      <c r="J12" s="31"/>
      <c r="K12" s="29"/>
      <c r="L12" s="31"/>
      <c r="M12" s="29"/>
      <c r="O12" s="53" t="s">
        <v>131</v>
      </c>
      <c r="P12" s="58">
        <f>参照ﾃﾞｰﾀ!Z10</f>
        <v>46222</v>
      </c>
      <c r="Q12" s="58" t="str">
        <f>参照ﾃﾞｰﾀ!AA10</f>
        <v>F</v>
      </c>
      <c r="R12" s="464" t="str">
        <f>参照ﾃﾞｰﾀ!AB10</f>
        <v>SHARK X</v>
      </c>
      <c r="S12" s="54"/>
      <c r="T12" s="48"/>
    </row>
    <row r="13" spans="2:20" s="2" customFormat="1" ht="18" customHeight="1" x14ac:dyDescent="0.2">
      <c r="B13" s="31"/>
      <c r="C13" s="29"/>
      <c r="D13" s="31"/>
      <c r="E13" s="29"/>
      <c r="F13" s="31"/>
      <c r="G13" s="29"/>
      <c r="H13" s="32"/>
      <c r="I13" s="29"/>
      <c r="J13" s="32"/>
      <c r="K13" s="29"/>
      <c r="L13" s="31"/>
      <c r="M13" s="29"/>
      <c r="O13" s="53" t="s">
        <v>132</v>
      </c>
      <c r="P13" s="58">
        <f>参照ﾃﾞｰﾀ!Z11</f>
        <v>46250</v>
      </c>
      <c r="Q13" s="58" t="str">
        <f>参照ﾃﾞｰﾀ!AA11</f>
        <v>H</v>
      </c>
      <c r="R13" s="464" t="str">
        <f>参照ﾃﾞｰﾀ!AB11</f>
        <v>サーモン4</v>
      </c>
      <c r="S13" s="54"/>
      <c r="T13" s="48"/>
    </row>
    <row r="14" spans="2:20" s="2" customFormat="1" ht="18" customHeight="1" x14ac:dyDescent="0.2">
      <c r="B14" s="31"/>
      <c r="C14" s="29"/>
      <c r="D14" s="31"/>
      <c r="E14" s="29"/>
      <c r="F14" s="31"/>
      <c r="G14" s="29"/>
      <c r="H14" s="32"/>
      <c r="I14" s="29"/>
      <c r="J14" s="32"/>
      <c r="K14" s="29"/>
      <c r="L14" s="31"/>
      <c r="M14" s="29"/>
      <c r="O14" s="53" t="s">
        <v>133</v>
      </c>
      <c r="P14" s="58">
        <f>参照ﾃﾞｰﾀ!Z12</f>
        <v>46285</v>
      </c>
      <c r="Q14" s="58" t="str">
        <f>参照ﾃﾞｰﾀ!AA12</f>
        <v>A</v>
      </c>
      <c r="R14" s="464" t="str">
        <f>参照ﾃﾞｰﾀ!AB12</f>
        <v>飛車角</v>
      </c>
      <c r="S14" s="54"/>
      <c r="T14" s="48"/>
    </row>
    <row r="15" spans="2:20" s="2" customFormat="1" ht="18" customHeight="1" x14ac:dyDescent="0.2">
      <c r="B15" s="31"/>
      <c r="C15" s="29"/>
      <c r="D15" s="31"/>
      <c r="E15" s="29"/>
      <c r="F15" s="31"/>
      <c r="G15" s="29"/>
      <c r="H15" s="33"/>
      <c r="I15" s="29"/>
      <c r="J15" s="33"/>
      <c r="K15" s="29"/>
      <c r="L15" s="31"/>
      <c r="M15" s="29"/>
      <c r="O15" s="53" t="s">
        <v>134</v>
      </c>
      <c r="P15" s="58">
        <f>参照ﾃﾞｰﾀ!Z13</f>
        <v>46299</v>
      </c>
      <c r="Q15" s="58" t="str">
        <f>参照ﾃﾞｰﾀ!AA13</f>
        <v>KFRランデブー</v>
      </c>
      <c r="R15" s="464" t="str">
        <f>参照ﾃﾞｰﾀ!AB13</f>
        <v>ー</v>
      </c>
      <c r="S15" s="54"/>
      <c r="T15" s="48"/>
    </row>
    <row r="16" spans="2:20" s="2" customFormat="1" ht="18" customHeight="1" x14ac:dyDescent="0.2">
      <c r="B16" s="34"/>
      <c r="C16" s="35"/>
      <c r="D16" s="34"/>
      <c r="E16" s="35"/>
      <c r="F16" s="31"/>
      <c r="G16" s="29"/>
      <c r="H16" s="36"/>
      <c r="I16" s="35"/>
      <c r="J16" s="36"/>
      <c r="K16" s="35"/>
      <c r="L16" s="34"/>
      <c r="M16" s="35"/>
      <c r="O16" s="53" t="s">
        <v>134</v>
      </c>
      <c r="P16" s="58">
        <f>参照ﾃﾞｰﾀ!Z14</f>
        <v>46313</v>
      </c>
      <c r="Q16" s="58" t="str">
        <f>参照ﾃﾞｰﾀ!AA14</f>
        <v>E</v>
      </c>
      <c r="R16" s="464" t="str">
        <f>参照ﾃﾞｰﾀ!AB14</f>
        <v>テティス</v>
      </c>
      <c r="S16" s="54"/>
      <c r="T16" s="48"/>
    </row>
    <row r="17" spans="2:20" s="2" customFormat="1" ht="18" customHeight="1" x14ac:dyDescent="0.2">
      <c r="B17" s="37"/>
      <c r="C17" s="38"/>
      <c r="D17" s="37"/>
      <c r="E17" s="38"/>
      <c r="F17" s="37"/>
      <c r="G17" s="38"/>
      <c r="H17" s="39"/>
      <c r="I17" s="38"/>
      <c r="J17" s="39"/>
      <c r="K17" s="38"/>
      <c r="L17" s="37"/>
      <c r="M17" s="38"/>
      <c r="O17" s="53" t="s">
        <v>135</v>
      </c>
      <c r="P17" s="58">
        <f>参照ﾃﾞｰﾀ!Z15</f>
        <v>46341</v>
      </c>
      <c r="Q17" s="58" t="str">
        <f>参照ﾃﾞｰﾀ!AA15</f>
        <v>F</v>
      </c>
      <c r="R17" s="464" t="str">
        <f>参照ﾃﾞｰﾀ!AB15</f>
        <v>Miss Emica</v>
      </c>
      <c r="S17" s="54"/>
      <c r="T17" s="48"/>
    </row>
    <row r="18" spans="2:20" s="2" customFormat="1" ht="15" x14ac:dyDescent="0.2">
      <c r="B18" s="40"/>
      <c r="C18" s="18"/>
      <c r="D18" s="18"/>
      <c r="E18" s="18"/>
      <c r="F18" s="18"/>
      <c r="G18" s="18"/>
      <c r="H18" s="18"/>
      <c r="I18" s="18"/>
      <c r="J18" s="18"/>
      <c r="K18" s="18"/>
      <c r="L18" s="18"/>
      <c r="M18" s="18"/>
      <c r="O18" s="53" t="s">
        <v>136</v>
      </c>
      <c r="P18" s="58">
        <f>参照ﾃﾞｰﾀ!Z16</f>
        <v>46376</v>
      </c>
      <c r="Q18" s="58" t="str">
        <f>参照ﾃﾞｰﾀ!AA16</f>
        <v>E</v>
      </c>
      <c r="R18" s="464" t="str">
        <f>参照ﾃﾞｰﾀ!AB16</f>
        <v>IXORA IV</v>
      </c>
      <c r="S18" s="54"/>
      <c r="T18" s="48"/>
    </row>
    <row r="19" spans="2:20" s="2" customFormat="1" ht="21" customHeight="1" x14ac:dyDescent="0.2">
      <c r="B19" s="508" t="str">
        <f>参照ﾃﾞｰﾀ!Y10</f>
        <v>＃622</v>
      </c>
      <c r="C19" s="509" t="s">
        <v>169</v>
      </c>
      <c r="D19" s="508" t="str">
        <f>参照ﾃﾞｰﾀ!Y11</f>
        <v>＃623</v>
      </c>
      <c r="E19" s="509" t="s">
        <v>169</v>
      </c>
      <c r="F19" s="508" t="str">
        <f>参照ﾃﾞｰﾀ!Y13</f>
        <v>＃625</v>
      </c>
      <c r="G19" s="510" t="s">
        <v>195</v>
      </c>
      <c r="H19" s="508" t="str">
        <f>参照ﾃﾞｰﾀ!Y14</f>
        <v>＃626</v>
      </c>
      <c r="I19" s="509" t="s">
        <v>169</v>
      </c>
      <c r="J19" s="508" t="str">
        <f>参照ﾃﾞｰﾀ!Y15</f>
        <v>＃627</v>
      </c>
      <c r="K19" s="509" t="s">
        <v>183</v>
      </c>
      <c r="L19" s="508" t="str">
        <f>参照ﾃﾞｰﾀ!Y16</f>
        <v>＃628</v>
      </c>
      <c r="M19" s="511" t="s">
        <v>55</v>
      </c>
      <c r="O19" s="57" t="s">
        <v>187</v>
      </c>
      <c r="P19" s="55"/>
      <c r="Q19" s="48"/>
      <c r="R19" s="56"/>
      <c r="S19" s="48"/>
      <c r="T19" s="48"/>
    </row>
    <row r="20" spans="2:20" s="2" customFormat="1" ht="46.5" customHeight="1" x14ac:dyDescent="0.2">
      <c r="B20" s="636">
        <f>参照ﾃﾞｰﾀ!$J10</f>
        <v>46222</v>
      </c>
      <c r="C20" s="637"/>
      <c r="D20" s="636">
        <f>参照ﾃﾞｰﾀ!$J11</f>
        <v>46250</v>
      </c>
      <c r="E20" s="637"/>
      <c r="F20" s="636">
        <f>参照ﾃﾞｰﾀ!$J13</f>
        <v>46299</v>
      </c>
      <c r="G20" s="637"/>
      <c r="H20" s="636">
        <f>参照ﾃﾞｰﾀ!$J14</f>
        <v>46313</v>
      </c>
      <c r="I20" s="637"/>
      <c r="J20" s="636">
        <f>参照ﾃﾞｰﾀ!$J15</f>
        <v>46341</v>
      </c>
      <c r="K20" s="637"/>
      <c r="L20" s="636">
        <f>参照ﾃﾞｰﾀ!$J16</f>
        <v>46376</v>
      </c>
      <c r="M20" s="637"/>
      <c r="O20" s="273" t="s">
        <v>125</v>
      </c>
      <c r="P20" s="274">
        <f>参照ﾃﾞｰﾀ!Z17</f>
        <v>46404</v>
      </c>
      <c r="Q20" s="274" t="str">
        <f>参照ﾃﾞｰﾀ!AA17</f>
        <v>G</v>
      </c>
      <c r="R20" s="275" t="str">
        <f>参照ﾃﾞｰﾀ!AB17</f>
        <v>ケロニア</v>
      </c>
      <c r="S20" s="54"/>
      <c r="T20" s="48"/>
    </row>
    <row r="21" spans="2:20" s="2" customFormat="1" ht="21" customHeight="1" x14ac:dyDescent="0.2">
      <c r="B21" s="512" t="s">
        <v>103</v>
      </c>
      <c r="C21" s="513" t="s">
        <v>68</v>
      </c>
      <c r="D21" s="512" t="s">
        <v>103</v>
      </c>
      <c r="E21" s="513" t="s">
        <v>68</v>
      </c>
      <c r="F21" s="512" t="s">
        <v>103</v>
      </c>
      <c r="G21" s="513" t="s">
        <v>68</v>
      </c>
      <c r="H21" s="512" t="s">
        <v>103</v>
      </c>
      <c r="I21" s="513" t="s">
        <v>68</v>
      </c>
      <c r="J21" s="512" t="s">
        <v>103</v>
      </c>
      <c r="K21" s="513" t="s">
        <v>68</v>
      </c>
      <c r="L21" s="512" t="s">
        <v>103</v>
      </c>
      <c r="M21" s="513" t="s">
        <v>68</v>
      </c>
      <c r="O21" s="55"/>
      <c r="P21" s="57"/>
      <c r="Q21" s="48"/>
      <c r="R21" s="48"/>
      <c r="S21" s="48"/>
      <c r="T21" s="48"/>
    </row>
    <row r="22" spans="2:20" s="2" customFormat="1" ht="18" customHeight="1" x14ac:dyDescent="0.2">
      <c r="B22" s="514"/>
      <c r="C22" s="515"/>
      <c r="D22" s="514"/>
      <c r="E22" s="515"/>
      <c r="F22" s="516"/>
      <c r="G22" s="517"/>
      <c r="H22" s="516"/>
      <c r="I22" s="517"/>
      <c r="J22" s="518"/>
      <c r="K22" s="517"/>
      <c r="L22" s="514"/>
      <c r="M22" s="515"/>
      <c r="O22" s="55"/>
      <c r="P22" s="51"/>
      <c r="Q22" s="48"/>
      <c r="R22" s="48"/>
      <c r="S22" s="48"/>
      <c r="T22" s="48"/>
    </row>
    <row r="23" spans="2:20" s="2" customFormat="1" ht="18" customHeight="1" x14ac:dyDescent="0.2">
      <c r="B23" s="519"/>
      <c r="C23" s="515"/>
      <c r="D23" s="519"/>
      <c r="E23" s="517"/>
      <c r="F23" s="519"/>
      <c r="G23" s="517"/>
      <c r="H23" s="519"/>
      <c r="I23" s="517"/>
      <c r="J23" s="518"/>
      <c r="K23" s="517"/>
      <c r="L23" s="519"/>
      <c r="M23" s="515"/>
      <c r="O23" s="55"/>
      <c r="P23" s="51"/>
      <c r="Q23" s="48"/>
      <c r="R23" s="48"/>
      <c r="S23" s="48"/>
      <c r="T23" s="48"/>
    </row>
    <row r="24" spans="2:20" s="2" customFormat="1" ht="18" customHeight="1" x14ac:dyDescent="0.2">
      <c r="B24" s="516"/>
      <c r="C24" s="517"/>
      <c r="D24" s="516"/>
      <c r="E24" s="517"/>
      <c r="F24" s="516"/>
      <c r="G24" s="517"/>
      <c r="H24" s="516"/>
      <c r="I24" s="517"/>
      <c r="J24" s="518"/>
      <c r="K24" s="517"/>
      <c r="L24" s="516"/>
      <c r="M24" s="515"/>
      <c r="O24" s="55"/>
      <c r="P24" s="51"/>
      <c r="Q24" s="48"/>
      <c r="R24" s="48"/>
      <c r="S24" s="48"/>
      <c r="T24" s="48"/>
    </row>
    <row r="25" spans="2:20" s="2" customFormat="1" ht="18" customHeight="1" x14ac:dyDescent="0.2">
      <c r="B25" s="516"/>
      <c r="C25" s="517"/>
      <c r="D25" s="516"/>
      <c r="E25" s="515"/>
      <c r="F25" s="516"/>
      <c r="G25" s="517"/>
      <c r="H25" s="516"/>
      <c r="I25" s="517" ph="1"/>
      <c r="J25" s="518"/>
      <c r="K25" s="517"/>
      <c r="L25" s="516"/>
      <c r="M25" s="515"/>
      <c r="O25" s="55"/>
      <c r="P25" s="51"/>
      <c r="Q25" s="48"/>
      <c r="R25" s="48"/>
      <c r="S25" s="48"/>
      <c r="T25" s="48"/>
    </row>
    <row r="26" spans="2:20" s="2" customFormat="1" ht="18" customHeight="1" x14ac:dyDescent="0.2">
      <c r="B26" s="516"/>
      <c r="C26" s="517"/>
      <c r="D26" s="516"/>
      <c r="E26" s="517"/>
      <c r="F26" s="516"/>
      <c r="G26" s="517"/>
      <c r="H26" s="516"/>
      <c r="I26" s="517"/>
      <c r="J26" s="518"/>
      <c r="K26" s="517"/>
      <c r="L26" s="516"/>
      <c r="M26" s="515"/>
      <c r="O26" s="55"/>
      <c r="P26" s="51"/>
      <c r="Q26" s="48"/>
      <c r="R26" s="48"/>
      <c r="S26" s="48"/>
      <c r="T26" s="48"/>
    </row>
    <row r="27" spans="2:20" s="2" customFormat="1" ht="18" customHeight="1" x14ac:dyDescent="0.2">
      <c r="B27" s="516"/>
      <c r="C27" s="517"/>
      <c r="D27" s="516"/>
      <c r="E27" s="517"/>
      <c r="F27" s="516"/>
      <c r="G27" s="517"/>
      <c r="H27" s="516"/>
      <c r="I27" s="517"/>
      <c r="J27" s="520"/>
      <c r="K27" s="517"/>
      <c r="L27" s="516"/>
      <c r="M27" s="515"/>
      <c r="O27" s="55"/>
      <c r="P27" s="51"/>
      <c r="Q27" s="48"/>
      <c r="R27" s="48"/>
      <c r="S27" s="48"/>
      <c r="T27" s="48"/>
    </row>
    <row r="28" spans="2:20" s="2" customFormat="1" ht="18" customHeight="1" x14ac:dyDescent="0.2">
      <c r="B28" s="516"/>
      <c r="C28" s="517"/>
      <c r="D28" s="516"/>
      <c r="E28" s="517"/>
      <c r="F28" s="516"/>
      <c r="G28" s="517"/>
      <c r="H28" s="516"/>
      <c r="I28" s="517"/>
      <c r="J28" s="520"/>
      <c r="K28" s="517"/>
      <c r="L28" s="516"/>
      <c r="M28" s="517"/>
      <c r="O28" s="55"/>
      <c r="P28" s="51"/>
      <c r="Q28" s="48"/>
      <c r="R28" s="48"/>
      <c r="S28" s="48"/>
      <c r="T28" s="48"/>
    </row>
    <row r="29" spans="2:20" s="2" customFormat="1" ht="18" customHeight="1" x14ac:dyDescent="0.2">
      <c r="B29" s="516"/>
      <c r="C29" s="517"/>
      <c r="D29" s="516"/>
      <c r="E29" s="517"/>
      <c r="F29" s="516"/>
      <c r="G29" s="517"/>
      <c r="H29" s="516"/>
      <c r="I29" s="517"/>
      <c r="J29" s="520"/>
      <c r="K29" s="517"/>
      <c r="L29" s="516"/>
      <c r="M29" s="517"/>
      <c r="O29" s="55"/>
      <c r="P29" s="51"/>
      <c r="Q29" s="48"/>
      <c r="R29" s="48"/>
      <c r="S29" s="48"/>
      <c r="T29" s="48"/>
    </row>
    <row r="30" spans="2:20" s="2" customFormat="1" ht="18" customHeight="1" x14ac:dyDescent="0.2">
      <c r="B30" s="516"/>
      <c r="C30" s="517"/>
      <c r="D30" s="516"/>
      <c r="E30" s="517"/>
      <c r="F30" s="516"/>
      <c r="G30" s="517"/>
      <c r="H30" s="516"/>
      <c r="I30" s="517"/>
      <c r="J30" s="520"/>
      <c r="K30" s="517"/>
      <c r="L30" s="516"/>
      <c r="M30" s="517"/>
      <c r="O30" s="55"/>
      <c r="P30" s="51"/>
      <c r="Q30" s="48"/>
      <c r="R30" s="48"/>
      <c r="S30" s="48"/>
      <c r="T30" s="48"/>
    </row>
    <row r="31" spans="2:20" s="2" customFormat="1" ht="18" customHeight="1" x14ac:dyDescent="0.2">
      <c r="B31" s="521"/>
      <c r="C31" s="522"/>
      <c r="D31" s="521"/>
      <c r="E31" s="522"/>
      <c r="F31" s="521"/>
      <c r="G31" s="522"/>
      <c r="H31" s="521"/>
      <c r="I31" s="522"/>
      <c r="J31" s="523"/>
      <c r="K31" s="522"/>
      <c r="L31" s="521"/>
      <c r="M31" s="522"/>
      <c r="O31" s="55"/>
      <c r="P31" s="55"/>
      <c r="Q31" s="48"/>
      <c r="R31" s="48"/>
      <c r="S31" s="48"/>
      <c r="T31" s="48"/>
    </row>
    <row r="32" spans="2:20" s="2" customFormat="1" ht="15" x14ac:dyDescent="0.2">
      <c r="B32" s="40"/>
      <c r="C32" s="18"/>
      <c r="D32" s="18"/>
      <c r="E32" s="18"/>
      <c r="F32" s="18"/>
      <c r="G32" s="18"/>
      <c r="H32" s="18"/>
      <c r="I32" s="18"/>
      <c r="J32" s="18"/>
      <c r="K32" s="18"/>
      <c r="L32" s="18"/>
      <c r="M32" s="18"/>
      <c r="O32" s="51"/>
      <c r="P32" s="51"/>
      <c r="Q32" s="48"/>
      <c r="R32" s="48"/>
      <c r="S32" s="48"/>
      <c r="T32" s="48"/>
    </row>
    <row r="33" spans="2:20" s="2" customFormat="1" ht="18" customHeight="1" x14ac:dyDescent="0.2">
      <c r="B33" s="41"/>
      <c r="C33" s="42"/>
      <c r="D33" s="18"/>
      <c r="E33" s="18"/>
      <c r="F33" s="18"/>
      <c r="G33" s="18"/>
      <c r="H33" s="18"/>
      <c r="I33" s="18"/>
      <c r="J33" s="18"/>
      <c r="K33" s="18"/>
      <c r="L33" s="635" t="s">
        <v>104</v>
      </c>
      <c r="M33" s="635"/>
      <c r="O33" s="51"/>
      <c r="P33" s="51"/>
      <c r="Q33" s="48"/>
      <c r="R33" s="48"/>
      <c r="S33" s="48"/>
      <c r="T33" s="48"/>
    </row>
    <row r="34" spans="2:20" s="2" customFormat="1" ht="15" x14ac:dyDescent="0.2">
      <c r="B34" s="1"/>
      <c r="O34" s="51"/>
      <c r="P34" s="51"/>
      <c r="Q34" s="48"/>
      <c r="R34" s="48"/>
      <c r="S34" s="48"/>
      <c r="T34" s="48"/>
    </row>
  </sheetData>
  <sheetProtection algorithmName="SHA-512" hashValue="AImWoro4G5b0ijYbGC9YzLBjXIBnJ2eCVSN3/wR6Lx05QVqLBlcYO83SY/MJZeRxyiG33ca7gpMmjDZG+rB2lQ==" saltValue="Pcyxi1l84x4eRgVUU2MI0A==" spinCount="100000" sheet="1" objects="1" scenarios="1"/>
  <mergeCells count="19">
    <mergeCell ref="L33:M33"/>
    <mergeCell ref="B20:C20"/>
    <mergeCell ref="D20:E20"/>
    <mergeCell ref="F20:G20"/>
    <mergeCell ref="H20:I20"/>
    <mergeCell ref="J20:K20"/>
    <mergeCell ref="L20:M20"/>
    <mergeCell ref="H5:I5"/>
    <mergeCell ref="J5:K5"/>
    <mergeCell ref="L5:M5"/>
    <mergeCell ref="O1:S1"/>
    <mergeCell ref="O5:P5"/>
    <mergeCell ref="B1:L1"/>
    <mergeCell ref="B2:M2"/>
    <mergeCell ref="B3:K3"/>
    <mergeCell ref="L3:M3"/>
    <mergeCell ref="B5:C5"/>
    <mergeCell ref="D5:E5"/>
    <mergeCell ref="F5:G5"/>
  </mergeCells>
  <phoneticPr fontId="5"/>
  <dataValidations disablePrompts="1" count="1">
    <dataValidation type="list" allowBlank="1" showInputMessage="1" showErrorMessage="1" sqref="K19 E4 G4 I4 K4 M4 C19 E19 G19 M19 C4" xr:uid="{00000000-0002-0000-0700-000000000000}">
      <formula1>コース</formula1>
    </dataValidation>
  </dataValidations>
  <pageMargins left="0.31496062992125984" right="0.31496062992125984" top="0.74803149606299213" bottom="0.74803149606299213" header="0.31496062992125984" footer="0.31496062992125984"/>
  <pageSetup paperSize="9" scale="97" fitToHeight="0" orientation="portrait" horizontalDpi="4294967293"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700-000001000000}">
          <x14:formula1>
            <xm:f>参照ﾃﾞｰﾀ!$B$4:$B$17</xm:f>
          </x14:formula1>
          <xm:sqref>I19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G45"/>
  <sheetViews>
    <sheetView zoomScaleNormal="100" workbookViewId="0">
      <selection activeCell="O17" sqref="O17"/>
    </sheetView>
  </sheetViews>
  <sheetFormatPr defaultRowHeight="13" x14ac:dyDescent="0.2"/>
  <cols>
    <col min="1" max="1" width="2.7265625" customWidth="1"/>
    <col min="4" max="4" width="9.08984375" bestFit="1" customWidth="1"/>
    <col min="5" max="5" width="3" customWidth="1"/>
    <col min="6" max="6" width="9" customWidth="1"/>
    <col min="7" max="7" width="3.08984375" customWidth="1"/>
    <col min="8" max="8" width="5.90625" customWidth="1"/>
    <col min="9" max="9" width="3.26953125" customWidth="1"/>
    <col min="10" max="10" width="11.36328125" bestFit="1" customWidth="1"/>
    <col min="11" max="11" width="10.453125" style="14" customWidth="1"/>
    <col min="12" max="12" width="3.08984375" customWidth="1"/>
    <col min="13" max="13" width="11.08984375" customWidth="1"/>
    <col min="14" max="14" width="3" customWidth="1"/>
    <col min="15" max="15" width="18.1796875" bestFit="1" customWidth="1"/>
    <col min="16" max="16" width="2.453125" customWidth="1"/>
    <col min="18" max="18" width="2.6328125" customWidth="1"/>
    <col min="19" max="19" width="6.90625" customWidth="1"/>
    <col min="20" max="20" width="2.6328125" customWidth="1"/>
    <col min="22" max="22" width="2.90625" customWidth="1"/>
    <col min="26" max="26" width="12.7265625" bestFit="1" customWidth="1"/>
    <col min="28" max="28" width="14" bestFit="1" customWidth="1"/>
    <col min="29" max="30" width="8.7265625" hidden="1" customWidth="1"/>
  </cols>
  <sheetData>
    <row r="1" spans="2:33" ht="16.5" x14ac:dyDescent="0.2">
      <c r="B1" s="276" t="s">
        <v>54</v>
      </c>
      <c r="C1" s="277"/>
      <c r="D1" s="277"/>
      <c r="E1" s="277"/>
      <c r="F1" s="278" t="s">
        <v>39</v>
      </c>
      <c r="G1" s="278"/>
      <c r="H1" s="278" t="s">
        <v>41</v>
      </c>
      <c r="I1" s="278"/>
      <c r="J1" s="278" t="s">
        <v>63</v>
      </c>
      <c r="K1" s="279"/>
      <c r="L1" s="278"/>
      <c r="M1" s="278" t="s">
        <v>37</v>
      </c>
      <c r="N1" s="278"/>
      <c r="O1" s="279" t="s">
        <v>44</v>
      </c>
      <c r="P1" s="278"/>
      <c r="Q1" s="278" t="s">
        <v>38</v>
      </c>
      <c r="R1" s="278"/>
      <c r="S1" s="279" t="s">
        <v>46</v>
      </c>
      <c r="T1" s="278"/>
      <c r="U1" s="278" t="s">
        <v>53</v>
      </c>
      <c r="W1" s="278" t="s">
        <v>58</v>
      </c>
    </row>
    <row r="2" spans="2:33" ht="13.5" thickBot="1" x14ac:dyDescent="0.25">
      <c r="B2" t="s">
        <v>264</v>
      </c>
      <c r="F2" s="15"/>
      <c r="J2" s="14" t="s">
        <v>233</v>
      </c>
      <c r="L2" t="s">
        <v>262</v>
      </c>
      <c r="Y2" t="str">
        <f>J2</f>
        <v>2026年</v>
      </c>
    </row>
    <row r="3" spans="2:33" ht="16" thickBot="1" x14ac:dyDescent="0.3">
      <c r="B3" s="496" t="s">
        <v>33</v>
      </c>
      <c r="C3" s="497" t="s">
        <v>64</v>
      </c>
      <c r="D3" s="498" t="s">
        <v>58</v>
      </c>
      <c r="E3" s="7"/>
      <c r="F3" s="499" t="s">
        <v>40</v>
      </c>
      <c r="G3" s="7"/>
      <c r="H3" s="500" t="s">
        <v>34</v>
      </c>
      <c r="J3" s="486" t="s">
        <v>63</v>
      </c>
      <c r="K3" s="501" t="s">
        <v>58</v>
      </c>
      <c r="M3" s="502" t="s">
        <v>42</v>
      </c>
      <c r="O3" s="486" t="s">
        <v>44</v>
      </c>
      <c r="Q3" s="439" t="s">
        <v>36</v>
      </c>
      <c r="S3" s="486" t="s">
        <v>47</v>
      </c>
      <c r="U3" s="487" t="s">
        <v>53</v>
      </c>
      <c r="W3" s="488" t="s">
        <v>13</v>
      </c>
      <c r="Y3" s="477" t="s">
        <v>107</v>
      </c>
      <c r="Z3" s="478" t="s">
        <v>108</v>
      </c>
      <c r="AA3" s="479" t="s">
        <v>66</v>
      </c>
      <c r="AB3" s="480" t="s">
        <v>105</v>
      </c>
      <c r="AC3" s="478" t="s">
        <v>106</v>
      </c>
      <c r="AD3" s="478" t="s">
        <v>109</v>
      </c>
      <c r="AE3" s="481" t="s">
        <v>110</v>
      </c>
      <c r="AF3" s="482" t="s">
        <v>174</v>
      </c>
      <c r="AG3" s="443" t="s">
        <v>261</v>
      </c>
    </row>
    <row r="4" spans="2:33" ht="16.5" thickTop="1" thickBot="1" x14ac:dyDescent="0.3">
      <c r="B4" s="489" t="s">
        <v>260</v>
      </c>
      <c r="C4" s="490">
        <v>24.2</v>
      </c>
      <c r="D4" s="491" t="s">
        <v>60</v>
      </c>
      <c r="F4" s="492" t="s">
        <v>233</v>
      </c>
      <c r="H4" s="493" t="s">
        <v>125</v>
      </c>
      <c r="J4" s="494">
        <v>46040</v>
      </c>
      <c r="K4" s="495" t="str">
        <f t="shared" ref="K4:K12" si="0">VLOOKUP(AA4,B$4:D$15,3,FALSE)</f>
        <v>MAX=15</v>
      </c>
      <c r="M4" s="484" t="s">
        <v>218</v>
      </c>
      <c r="O4" s="503" t="s">
        <v>45</v>
      </c>
      <c r="Q4" s="440" t="s">
        <v>65</v>
      </c>
      <c r="S4" s="485" t="s">
        <v>48</v>
      </c>
      <c r="U4" s="483">
        <v>0.33333333333333331</v>
      </c>
      <c r="W4" s="484" t="s">
        <v>59</v>
      </c>
      <c r="Y4" s="469" t="str">
        <f>M4</f>
        <v>＃616</v>
      </c>
      <c r="Z4" s="470">
        <f>J4</f>
        <v>46040</v>
      </c>
      <c r="AA4" s="471" t="s">
        <v>186</v>
      </c>
      <c r="AB4" s="472" t="s">
        <v>115</v>
      </c>
      <c r="AC4" s="473"/>
      <c r="AD4" s="474"/>
      <c r="AE4" s="475">
        <v>0.39583333333333331</v>
      </c>
      <c r="AF4" s="476">
        <v>0.5</v>
      </c>
    </row>
    <row r="5" spans="2:33" ht="16" thickBot="1" x14ac:dyDescent="0.25">
      <c r="B5" s="3" t="s">
        <v>214</v>
      </c>
      <c r="C5" s="12">
        <v>21.5</v>
      </c>
      <c r="D5" s="4" t="s">
        <v>60</v>
      </c>
      <c r="H5" s="6" t="s">
        <v>142</v>
      </c>
      <c r="J5" s="444">
        <v>46068</v>
      </c>
      <c r="K5" s="445" t="str">
        <f t="shared" si="0"/>
        <v>MAX=20</v>
      </c>
      <c r="M5" s="448" t="s">
        <v>219</v>
      </c>
      <c r="O5" s="504" t="s">
        <v>180</v>
      </c>
      <c r="Q5" s="5"/>
      <c r="S5" s="441" t="s">
        <v>49</v>
      </c>
      <c r="U5" s="462">
        <v>0.35416666666666669</v>
      </c>
      <c r="W5" s="448" t="s">
        <v>60</v>
      </c>
      <c r="Y5" s="424" t="str">
        <f t="shared" ref="Y5:Y16" si="1">M5</f>
        <v>＃617</v>
      </c>
      <c r="Z5" s="425">
        <f t="shared" ref="Z5:Z16" si="2">J5</f>
        <v>46068</v>
      </c>
      <c r="AA5" s="451" t="s">
        <v>154</v>
      </c>
      <c r="AB5" s="465" t="s">
        <v>25</v>
      </c>
      <c r="AC5" s="426"/>
      <c r="AD5" s="427"/>
      <c r="AE5" s="428">
        <v>0.4375</v>
      </c>
      <c r="AF5" s="429">
        <v>0.625</v>
      </c>
    </row>
    <row r="6" spans="2:33" ht="16" thickBot="1" x14ac:dyDescent="0.25">
      <c r="B6" s="3" t="s">
        <v>154</v>
      </c>
      <c r="C6" s="12">
        <v>11.3</v>
      </c>
      <c r="D6" s="4" t="s">
        <v>59</v>
      </c>
      <c r="H6" s="6" t="s">
        <v>143</v>
      </c>
      <c r="J6" s="444">
        <v>46096</v>
      </c>
      <c r="K6" s="445" t="str">
        <f t="shared" si="0"/>
        <v>MAX=25</v>
      </c>
      <c r="L6">
        <v>20</v>
      </c>
      <c r="M6" s="448" t="s">
        <v>248</v>
      </c>
      <c r="O6" s="505" t="s">
        <v>221</v>
      </c>
      <c r="S6" s="441" t="s">
        <v>50</v>
      </c>
      <c r="U6" s="462">
        <v>0.375</v>
      </c>
      <c r="W6" s="448" t="s">
        <v>62</v>
      </c>
      <c r="Y6" s="424" t="str">
        <f t="shared" si="1"/>
        <v>＃618</v>
      </c>
      <c r="Z6" s="425">
        <f t="shared" si="2"/>
        <v>46096</v>
      </c>
      <c r="AA6" s="450" t="s">
        <v>188</v>
      </c>
      <c r="AB6" s="465" t="s">
        <v>23</v>
      </c>
      <c r="AC6" s="426"/>
      <c r="AD6" s="427"/>
      <c r="AE6" s="428">
        <v>0.4375</v>
      </c>
      <c r="AF6" s="429">
        <v>0.625</v>
      </c>
      <c r="AG6" t="s">
        <v>154</v>
      </c>
    </row>
    <row r="7" spans="2:33" ht="16" thickBot="1" x14ac:dyDescent="0.25">
      <c r="B7" s="3" t="s">
        <v>188</v>
      </c>
      <c r="C7" s="12">
        <v>15.4</v>
      </c>
      <c r="D7" s="4" t="s">
        <v>191</v>
      </c>
      <c r="H7" s="6" t="s">
        <v>144</v>
      </c>
      <c r="J7" s="444">
        <v>46131</v>
      </c>
      <c r="K7" s="445" t="str">
        <f t="shared" si="0"/>
        <v>MAX=20</v>
      </c>
      <c r="M7" s="448" t="s">
        <v>249</v>
      </c>
      <c r="S7" s="442" t="s">
        <v>246</v>
      </c>
      <c r="U7" s="462">
        <v>0.39583333333333331</v>
      </c>
      <c r="W7" s="448" t="s">
        <v>191</v>
      </c>
      <c r="Y7" s="424" t="str">
        <f t="shared" si="1"/>
        <v>＃619</v>
      </c>
      <c r="Z7" s="425">
        <f t="shared" si="2"/>
        <v>46131</v>
      </c>
      <c r="AA7" s="450" t="s">
        <v>154</v>
      </c>
      <c r="AB7" s="465" t="s">
        <v>334</v>
      </c>
      <c r="AC7" s="426"/>
      <c r="AD7" s="427"/>
      <c r="AE7" s="428">
        <v>0.4375</v>
      </c>
      <c r="AF7" s="429">
        <v>0.625</v>
      </c>
    </row>
    <row r="8" spans="2:33" ht="16" thickBot="1" x14ac:dyDescent="0.25">
      <c r="B8" s="3" t="s">
        <v>172</v>
      </c>
      <c r="C8" s="438">
        <v>6</v>
      </c>
      <c r="D8" s="4" t="s">
        <v>192</v>
      </c>
      <c r="H8" s="6" t="s">
        <v>145</v>
      </c>
      <c r="J8" s="444">
        <v>46159</v>
      </c>
      <c r="K8" s="445" t="str">
        <f t="shared" si="0"/>
        <v>MAX=40</v>
      </c>
      <c r="L8">
        <v>20</v>
      </c>
      <c r="M8" s="448" t="s">
        <v>250</v>
      </c>
      <c r="U8" s="462">
        <v>0.41666666666666669</v>
      </c>
      <c r="W8" s="449" t="s">
        <v>192</v>
      </c>
      <c r="Y8" s="424" t="str">
        <f t="shared" si="1"/>
        <v>＃620</v>
      </c>
      <c r="Z8" s="425">
        <f t="shared" si="2"/>
        <v>46159</v>
      </c>
      <c r="AA8" s="450" t="s">
        <v>173</v>
      </c>
      <c r="AB8" s="465" t="s">
        <v>26</v>
      </c>
      <c r="AC8" s="426"/>
      <c r="AD8" s="427"/>
      <c r="AE8" s="428">
        <v>0</v>
      </c>
      <c r="AF8" s="430">
        <v>0.625</v>
      </c>
      <c r="AG8" t="s">
        <v>263</v>
      </c>
    </row>
    <row r="9" spans="2:33" ht="15.5" x14ac:dyDescent="0.2">
      <c r="B9" s="3" t="s">
        <v>170</v>
      </c>
      <c r="C9" s="12">
        <v>23.8</v>
      </c>
      <c r="D9" s="4" t="s">
        <v>60</v>
      </c>
      <c r="H9" s="6" t="s">
        <v>146</v>
      </c>
      <c r="J9" s="444">
        <v>46194</v>
      </c>
      <c r="K9" s="445" t="str">
        <f t="shared" si="0"/>
        <v>MAX=30</v>
      </c>
      <c r="L9">
        <v>25</v>
      </c>
      <c r="M9" s="448" t="s">
        <v>251</v>
      </c>
      <c r="U9" s="462">
        <v>0.4375</v>
      </c>
      <c r="Y9" s="424" t="str">
        <f t="shared" si="1"/>
        <v>＃621</v>
      </c>
      <c r="Z9" s="425">
        <f t="shared" si="2"/>
        <v>46194</v>
      </c>
      <c r="AA9" s="450" t="s">
        <v>260</v>
      </c>
      <c r="AB9" s="465" t="s">
        <v>335</v>
      </c>
      <c r="AC9" s="426"/>
      <c r="AD9" s="427"/>
      <c r="AE9" s="428">
        <v>0.4375</v>
      </c>
      <c r="AF9" s="429">
        <v>0.66666666666666663</v>
      </c>
      <c r="AG9" t="s">
        <v>265</v>
      </c>
    </row>
    <row r="10" spans="2:33" ht="15.5" x14ac:dyDescent="0.2">
      <c r="B10" s="3" t="s">
        <v>171</v>
      </c>
      <c r="C10" s="12">
        <v>17.3</v>
      </c>
      <c r="D10" s="4" t="s">
        <v>191</v>
      </c>
      <c r="H10" s="6" t="s">
        <v>147</v>
      </c>
      <c r="J10" s="444">
        <v>46222</v>
      </c>
      <c r="K10" s="445" t="str">
        <f t="shared" si="0"/>
        <v>MAX=25</v>
      </c>
      <c r="L10">
        <v>20</v>
      </c>
      <c r="M10" s="448" t="s">
        <v>252</v>
      </c>
      <c r="U10" s="462">
        <v>0.4513888888888889</v>
      </c>
      <c r="Y10" s="424" t="str">
        <f t="shared" si="1"/>
        <v>＃622</v>
      </c>
      <c r="Z10" s="425">
        <f>J10</f>
        <v>46222</v>
      </c>
      <c r="AA10" s="450" t="s">
        <v>188</v>
      </c>
      <c r="AB10" s="465" t="s">
        <v>161</v>
      </c>
      <c r="AC10" s="426"/>
      <c r="AD10" s="427"/>
      <c r="AE10" s="428">
        <v>0.4375</v>
      </c>
      <c r="AF10" s="429">
        <v>0.66666666666666663</v>
      </c>
      <c r="AG10" t="s">
        <v>154</v>
      </c>
    </row>
    <row r="11" spans="2:33" ht="15.5" x14ac:dyDescent="0.25">
      <c r="B11" s="10" t="s">
        <v>32</v>
      </c>
      <c r="C11" s="12">
        <v>47.4</v>
      </c>
      <c r="D11" s="4" t="s">
        <v>61</v>
      </c>
      <c r="H11" s="6" t="s">
        <v>148</v>
      </c>
      <c r="J11" s="444">
        <v>46250</v>
      </c>
      <c r="K11" s="445" t="str">
        <f t="shared" si="0"/>
        <v>MAX=30</v>
      </c>
      <c r="L11">
        <v>25</v>
      </c>
      <c r="M11" s="448" t="s">
        <v>253</v>
      </c>
      <c r="U11" s="462">
        <v>0.47916666666666669</v>
      </c>
      <c r="Y11" s="424" t="str">
        <f t="shared" si="1"/>
        <v>＃623</v>
      </c>
      <c r="Z11" s="425">
        <f t="shared" si="2"/>
        <v>46250</v>
      </c>
      <c r="AA11" s="450" t="s">
        <v>170</v>
      </c>
      <c r="AB11" s="465" t="s">
        <v>336</v>
      </c>
      <c r="AC11" s="426"/>
      <c r="AD11" s="427"/>
      <c r="AE11" s="428">
        <v>0.4375</v>
      </c>
      <c r="AF11" s="429">
        <v>0.66666666666666663</v>
      </c>
      <c r="AG11" t="s">
        <v>265</v>
      </c>
    </row>
    <row r="12" spans="2:33" ht="15.5" x14ac:dyDescent="0.25">
      <c r="B12" s="10" t="s">
        <v>43</v>
      </c>
      <c r="C12" s="12">
        <v>26.6</v>
      </c>
      <c r="D12" s="4"/>
      <c r="H12" s="6" t="s">
        <v>149</v>
      </c>
      <c r="J12" s="444">
        <v>46285</v>
      </c>
      <c r="K12" s="445" t="str">
        <f t="shared" si="0"/>
        <v>MAX=30</v>
      </c>
      <c r="L12">
        <v>25</v>
      </c>
      <c r="M12" s="448" t="s">
        <v>254</v>
      </c>
      <c r="U12" s="462">
        <v>0</v>
      </c>
      <c r="Y12" s="424" t="str">
        <f t="shared" si="1"/>
        <v>＃624</v>
      </c>
      <c r="Z12" s="425">
        <f t="shared" si="2"/>
        <v>46285</v>
      </c>
      <c r="AA12" s="450" t="s">
        <v>260</v>
      </c>
      <c r="AB12" s="465" t="s">
        <v>217</v>
      </c>
      <c r="AC12" s="426"/>
      <c r="AD12" s="427"/>
      <c r="AE12" s="428">
        <v>0.4375</v>
      </c>
      <c r="AF12" s="429">
        <v>0.66666666666666663</v>
      </c>
      <c r="AG12" t="s">
        <v>265</v>
      </c>
    </row>
    <row r="13" spans="2:33" ht="16" thickBot="1" x14ac:dyDescent="0.25">
      <c r="B13" s="3" t="s">
        <v>186</v>
      </c>
      <c r="C13" s="12">
        <v>4.8</v>
      </c>
      <c r="D13" s="4" t="s">
        <v>192</v>
      </c>
      <c r="H13" s="459" t="s">
        <v>150</v>
      </c>
      <c r="J13" s="444">
        <v>46299</v>
      </c>
      <c r="K13" s="460" t="e">
        <f>VLOOKUP(AA13,B$4:D$15,3,FALSE)</f>
        <v>#N/A</v>
      </c>
      <c r="M13" s="448" t="s">
        <v>255</v>
      </c>
      <c r="U13" s="463">
        <v>0.38194444444444442</v>
      </c>
      <c r="Y13" s="424" t="str">
        <f t="shared" si="1"/>
        <v>＃625</v>
      </c>
      <c r="Z13" s="425">
        <f t="shared" si="2"/>
        <v>46299</v>
      </c>
      <c r="AA13" s="461" t="s">
        <v>181</v>
      </c>
      <c r="AB13" s="465" t="s">
        <v>337</v>
      </c>
      <c r="AC13" s="431" t="s">
        <v>196</v>
      </c>
      <c r="AD13" s="431" t="s">
        <v>196</v>
      </c>
      <c r="AE13" s="428">
        <v>0.4375</v>
      </c>
      <c r="AF13" s="429">
        <v>0.66666666666666663</v>
      </c>
    </row>
    <row r="14" spans="2:33" ht="15.5" x14ac:dyDescent="0.2">
      <c r="B14" s="3" t="s">
        <v>189</v>
      </c>
      <c r="C14" s="12">
        <v>8.6</v>
      </c>
      <c r="D14" s="4" t="s">
        <v>192</v>
      </c>
      <c r="H14" s="6" t="s">
        <v>150</v>
      </c>
      <c r="J14" s="444">
        <v>46313</v>
      </c>
      <c r="K14" s="445" t="str">
        <f t="shared" ref="K14:K17" si="3">VLOOKUP(AA14,B$4:D$15,3,FALSE)</f>
        <v>MAX=20</v>
      </c>
      <c r="M14" s="448" t="s">
        <v>256</v>
      </c>
      <c r="Y14" s="424" t="str">
        <f t="shared" si="1"/>
        <v>＃626</v>
      </c>
      <c r="Z14" s="425">
        <f t="shared" si="2"/>
        <v>46313</v>
      </c>
      <c r="AA14" s="450" t="s">
        <v>154</v>
      </c>
      <c r="AB14" s="465" t="s">
        <v>115</v>
      </c>
      <c r="AC14" s="426"/>
      <c r="AD14" s="427"/>
      <c r="AE14" s="428">
        <v>0.4375</v>
      </c>
      <c r="AF14" s="429">
        <v>0.625</v>
      </c>
    </row>
    <row r="15" spans="2:33" ht="15.5" x14ac:dyDescent="0.2">
      <c r="B15" s="3" t="s">
        <v>182</v>
      </c>
      <c r="C15" s="12">
        <v>10</v>
      </c>
      <c r="D15" s="4" t="s">
        <v>59</v>
      </c>
      <c r="H15" s="6" t="s">
        <v>151</v>
      </c>
      <c r="J15" s="444">
        <v>46341</v>
      </c>
      <c r="K15" s="445" t="str">
        <f t="shared" si="3"/>
        <v>MAX=25</v>
      </c>
      <c r="L15">
        <v>20</v>
      </c>
      <c r="M15" s="448" t="s">
        <v>257</v>
      </c>
      <c r="Y15" s="424" t="str">
        <f t="shared" si="1"/>
        <v>＃627</v>
      </c>
      <c r="Z15" s="425">
        <f t="shared" si="2"/>
        <v>46341</v>
      </c>
      <c r="AA15" s="450" t="s">
        <v>188</v>
      </c>
      <c r="AB15" s="465" t="s">
        <v>216</v>
      </c>
      <c r="AC15" s="426"/>
      <c r="AD15" s="427"/>
      <c r="AE15" s="428">
        <v>0.4375</v>
      </c>
      <c r="AF15" s="429">
        <v>0.625</v>
      </c>
      <c r="AG15" t="s">
        <v>154</v>
      </c>
    </row>
    <row r="16" spans="2:33" ht="16" thickBot="1" x14ac:dyDescent="0.25">
      <c r="B16" s="3"/>
      <c r="C16" s="12"/>
      <c r="D16" s="4"/>
      <c r="H16" s="6" t="s">
        <v>152</v>
      </c>
      <c r="J16" s="444">
        <v>46376</v>
      </c>
      <c r="K16" s="445" t="str">
        <f t="shared" si="3"/>
        <v>MAX=20</v>
      </c>
      <c r="M16" s="448" t="s">
        <v>258</v>
      </c>
      <c r="Y16" s="45" t="str">
        <f t="shared" si="1"/>
        <v>＃628</v>
      </c>
      <c r="Z16" s="432">
        <f t="shared" si="2"/>
        <v>46376</v>
      </c>
      <c r="AA16" s="452" t="s">
        <v>154</v>
      </c>
      <c r="AB16" s="466" t="s">
        <v>338</v>
      </c>
      <c r="AC16" s="433"/>
      <c r="AD16" s="434"/>
      <c r="AE16" s="435">
        <v>0.4375</v>
      </c>
      <c r="AF16" s="436">
        <v>0.625</v>
      </c>
    </row>
    <row r="17" spans="2:32" ht="16" thickBot="1" x14ac:dyDescent="0.25">
      <c r="B17" s="9"/>
      <c r="C17" s="13"/>
      <c r="D17" s="8"/>
      <c r="H17" s="11" t="s">
        <v>190</v>
      </c>
      <c r="J17" s="446">
        <v>46404</v>
      </c>
      <c r="K17" s="447" t="str">
        <f t="shared" si="3"/>
        <v>MAX=15</v>
      </c>
      <c r="M17" s="449" t="s">
        <v>259</v>
      </c>
      <c r="Y17" s="419" t="str">
        <f t="shared" ref="Y17" si="4">M17</f>
        <v>＃629</v>
      </c>
      <c r="Z17" s="420">
        <f>J17</f>
        <v>46404</v>
      </c>
      <c r="AA17" s="453" t="s">
        <v>186</v>
      </c>
      <c r="AB17" s="467" t="s">
        <v>333</v>
      </c>
      <c r="AC17" s="421"/>
      <c r="AD17" s="422"/>
      <c r="AE17" s="423">
        <v>0.39583333333333331</v>
      </c>
      <c r="AF17" s="437">
        <v>0.5</v>
      </c>
    </row>
    <row r="18" spans="2:32" x14ac:dyDescent="0.2">
      <c r="M18" s="17"/>
      <c r="Y18" s="43"/>
      <c r="Z18" s="44" t="s">
        <v>112</v>
      </c>
      <c r="AA18" s="43" t="s">
        <v>113</v>
      </c>
      <c r="AB18" s="43"/>
      <c r="AC18" s="43"/>
      <c r="AD18" s="43"/>
      <c r="AE18" s="43"/>
    </row>
    <row r="19" spans="2:32" x14ac:dyDescent="0.2">
      <c r="K19" s="468" t="s">
        <v>267</v>
      </c>
      <c r="M19" s="17"/>
    </row>
    <row r="20" spans="2:32" x14ac:dyDescent="0.2">
      <c r="M20" s="17"/>
    </row>
    <row r="21" spans="2:32" x14ac:dyDescent="0.2">
      <c r="M21" s="17"/>
    </row>
    <row r="22" spans="2:32" x14ac:dyDescent="0.2">
      <c r="M22" s="17"/>
    </row>
    <row r="23" spans="2:32" x14ac:dyDescent="0.2">
      <c r="M23" s="17"/>
    </row>
    <row r="24" spans="2:32" x14ac:dyDescent="0.2">
      <c r="M24" s="17"/>
    </row>
    <row r="25" spans="2:32" x14ac:dyDescent="0.2">
      <c r="M25" s="17"/>
    </row>
    <row r="26" spans="2:32" x14ac:dyDescent="0.2">
      <c r="M26" s="17"/>
    </row>
    <row r="27" spans="2:32" x14ac:dyDescent="0.2">
      <c r="M27" s="17"/>
    </row>
    <row r="45" spans="6:6" x14ac:dyDescent="0.2">
      <c r="F45" t="s">
        <v>163</v>
      </c>
    </row>
  </sheetData>
  <sheetProtection algorithmName="SHA-512" hashValue="d7Gq9QL6CeXb418Q48TRWBRwyZEYy/iGdDwjrOFNPox8yXPi9MHVV52vEcIxjxjE22fPQYKf1S62loxZZgLCxg==" saltValue="MfqqMR3Nu/7jUnkGIFWndg==" spinCount="100000" sheet="1" objects="1" scenarios="1"/>
  <phoneticPr fontId="5"/>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25</vt:i4>
      </vt:variant>
    </vt:vector>
  </HeadingPairs>
  <TitlesOfParts>
    <vt:vector size="36" baseType="lpstr">
      <vt:lpstr>1月</vt:lpstr>
      <vt:lpstr>2月</vt:lpstr>
      <vt:lpstr>3月</vt:lpstr>
      <vt:lpstr>4月</vt:lpstr>
      <vt:lpstr>5月</vt:lpstr>
      <vt:lpstr>6月</vt:lpstr>
      <vt:lpstr>得点計</vt:lpstr>
      <vt:lpstr>ｺﾐｯﾃｨｰ</vt:lpstr>
      <vt:lpstr>参照ﾃﾞｰﾀ</vt:lpstr>
      <vt:lpstr>参照ＴＡ</vt:lpstr>
      <vt:lpstr>TA26.1.13</vt:lpstr>
      <vt:lpstr>'1月'!Print_Area</vt:lpstr>
      <vt:lpstr>'2月'!Print_Area</vt:lpstr>
      <vt:lpstr>'3月'!Print_Area</vt:lpstr>
      <vt:lpstr>'4月'!Print_Area</vt:lpstr>
      <vt:lpstr>'5月'!Print_Area</vt:lpstr>
      <vt:lpstr>'6月'!Print_Area</vt:lpstr>
      <vt:lpstr>ｺﾐｯﾃｨｰ!Print_Area</vt:lpstr>
      <vt:lpstr>得点計!Print_Area</vt:lpstr>
      <vt:lpstr>ＴＡ</vt:lpstr>
      <vt:lpstr>コース</vt:lpstr>
      <vt:lpstr>コース・距離</vt:lpstr>
      <vt:lpstr>レース番号</vt:lpstr>
      <vt:lpstr>レース名</vt:lpstr>
      <vt:lpstr>開催日</vt:lpstr>
      <vt:lpstr>月</vt:lpstr>
      <vt:lpstr>暫定</vt:lpstr>
      <vt:lpstr>時刻</vt:lpstr>
      <vt:lpstr>第1月ＴＡ</vt:lpstr>
      <vt:lpstr>第2月ＴＡ</vt:lpstr>
      <vt:lpstr>第3月ＴＡ</vt:lpstr>
      <vt:lpstr>第4月ＴＡ</vt:lpstr>
      <vt:lpstr>第5月ＴＡ</vt:lpstr>
      <vt:lpstr>第6月ＴＡ</vt:lpstr>
      <vt:lpstr>得点</vt:lpstr>
      <vt:lpstr>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小網代ヨットクラブ KFRレース委員会</dc:creator>
  <cp:lastModifiedBy>眞由彦 原</cp:lastModifiedBy>
  <cp:lastPrinted>2026-01-18T02:09:51Z</cp:lastPrinted>
  <dcterms:created xsi:type="dcterms:W3CDTF">2015-05-21T03:15:11Z</dcterms:created>
  <dcterms:modified xsi:type="dcterms:W3CDTF">2026-02-12T14:34:28Z</dcterms:modified>
</cp:coreProperties>
</file>